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BU I-XII" sheetId="1" r:id="rId1"/>
    <sheet name="BS I-XII" sheetId="2" r:id="rId2"/>
    <sheet name="novcani tok" sheetId="3" r:id="rId3"/>
    <sheet name="fin.pok. (2)" sheetId="4" r:id="rId4"/>
  </sheets>
  <definedNames>
    <definedName name="_xlnm.Print_Area" localSheetId="0">'BU I-XII'!$A$1:$K$79</definedName>
  </definedNames>
  <calcPr fullCalcOnLoad="1"/>
</workbook>
</file>

<file path=xl/sharedStrings.xml><?xml version="1.0" encoding="utf-8"?>
<sst xmlns="http://schemas.openxmlformats.org/spreadsheetml/2006/main" count="244" uniqueCount="119">
  <si>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</si>
  <si>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</si>
  <si>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</si>
  <si>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</si>
  <si>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</si>
  <si>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</si>
  <si>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</si>
  <si>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</si>
  <si>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METALURGIJA</t>
  </si>
  <si>
    <t>PROLETER</t>
  </si>
  <si>
    <t>METROT</t>
  </si>
  <si>
    <t>MARKET-Podgorica</t>
  </si>
  <si>
    <t>PROMO-METAL</t>
  </si>
  <si>
    <t>u eur</t>
  </si>
  <si>
    <t>Stalna imovina</t>
  </si>
  <si>
    <t>Obrtna imovina</t>
  </si>
  <si>
    <t>Kapital</t>
  </si>
  <si>
    <t>Dugoročne obaveze</t>
  </si>
  <si>
    <t>Nematerijlna ulaganja,nekretnine i oprema</t>
  </si>
  <si>
    <t xml:space="preserve">Učešće u kapitalu                  </t>
  </si>
  <si>
    <t>AKTIVA</t>
  </si>
  <si>
    <t>PASIVA</t>
  </si>
  <si>
    <t>Osnovni kapital</t>
  </si>
  <si>
    <t>Ostali kapital</t>
  </si>
  <si>
    <t>Neraspoređena dobit</t>
  </si>
  <si>
    <t>Gubitak</t>
  </si>
  <si>
    <t>Dugoročna rezervisanja</t>
  </si>
  <si>
    <t>Dugoročni krediti</t>
  </si>
  <si>
    <t>Kratkoročne obaveze</t>
  </si>
  <si>
    <t>Obaveze iz poslovanja (dobavljači)</t>
  </si>
  <si>
    <t>Ostale obaveze</t>
  </si>
  <si>
    <t>Odložne poreske obaveze</t>
  </si>
  <si>
    <t>Rezerve</t>
  </si>
  <si>
    <t>Kratkoročni kreidti</t>
  </si>
  <si>
    <t>Gubitak iznad visine kapitala</t>
  </si>
  <si>
    <t>Ostale dugoročne obaveze (zajmovi)</t>
  </si>
  <si>
    <t>Dugoročni zajmovi ZD</t>
  </si>
  <si>
    <t>Potraživanja (kupci)</t>
  </si>
  <si>
    <t>Kratkoročni zajmovi ZD</t>
  </si>
  <si>
    <t>Krat. fin.plasmani (potrošački zajmovi)</t>
  </si>
  <si>
    <t>Zalihe</t>
  </si>
  <si>
    <t>Ostala potraživanja</t>
  </si>
  <si>
    <t>Gotovina i gotovinski ekvivalent</t>
  </si>
  <si>
    <t>POSLOVNI PRIHODI</t>
  </si>
  <si>
    <t>Prihod od prodaje</t>
  </si>
  <si>
    <t>Prihod od prodaje na domaćem tržištu</t>
  </si>
  <si>
    <t>Prihod od prodaje na ino. tržištu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</si>
  <si>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</si>
  <si>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</si>
  <si>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</si>
  <si>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</si>
  <si>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</si>
  <si>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</si>
  <si>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</si>
  <si>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</si>
  <si>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Troškovi amortizacije</t>
  </si>
  <si>
    <t>Ostali poslovni rashodi</t>
  </si>
  <si>
    <t>POSLOVNI DOBITAK / GUBITAK</t>
  </si>
  <si>
    <t>FINANSIJSKI PRIHODI</t>
  </si>
  <si>
    <t>FINANSIJSKI RASHODI</t>
  </si>
  <si>
    <t>OSTALI PRIHODI</t>
  </si>
  <si>
    <t>OSTALI RASHODI</t>
  </si>
  <si>
    <t>FINANSIJSKI DOBITAK / GUBITAK</t>
  </si>
  <si>
    <t>OSTALI DOBITAK / GUBITAK</t>
  </si>
  <si>
    <t xml:space="preserve">DOBITAK / GUBITAK 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</si>
  <si>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</si>
  <si>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</si>
  <si>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</si>
  <si>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</si>
  <si>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</si>
  <si>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</si>
  <si>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</si>
  <si>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</si>
  <si>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</si>
  <si>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</si>
  <si>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</si>
  <si>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</si>
  <si>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Prodaja nekretnina, postrojenja i opreme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</si>
  <si>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</si>
  <si>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</si>
  <si>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</si>
  <si>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</si>
  <si>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</si>
  <si>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Ostali finansijski plasmnai (neto odliv)</t>
  </si>
  <si>
    <t>Neto priliv/odliv iz aktivnosti investiranja</t>
  </si>
  <si>
    <t>Tokovi gotovine iz aktivnosti finansiranja</t>
  </si>
  <si>
    <t>Dugoročni i kratkoročni krediti (neto priliv/odliv)</t>
  </si>
  <si>
    <t>Isplaćena dividenda i učešća u dobitku</t>
  </si>
  <si>
    <t>Finansijski lizing</t>
  </si>
  <si>
    <t>Neto odliv iz aktivnosti finansiranja</t>
  </si>
  <si>
    <t>Neto priliv/odliv gotovine</t>
  </si>
  <si>
    <t>Gotovina na početku obračunskog perioda</t>
  </si>
  <si>
    <t>Gotovina na kraju obračunskog perioda</t>
  </si>
  <si>
    <t>Pozitivne kusne razlike</t>
  </si>
  <si>
    <t>Prinos na ukupan kapital (ROI) %</t>
  </si>
  <si>
    <t>Neto prinos na sopstveni kapital (ROE) %</t>
  </si>
  <si>
    <t>I stepen likvidnosti (eur)</t>
  </si>
  <si>
    <t>II stepen likvidnosti (eur)</t>
  </si>
  <si>
    <t>Neto obrtni kapital (eur)</t>
  </si>
  <si>
    <t>Stopa poslovnog dobitka (%)</t>
  </si>
  <si>
    <t>Stepen zaduženosti (%)</t>
  </si>
  <si>
    <t>Neto obrtni kapital (u 000 din)</t>
  </si>
  <si>
    <t>I stepen likvidnosti (u din)</t>
  </si>
  <si>
    <t>II stepen likvidnosti (u din)</t>
  </si>
  <si>
    <t xml:space="preserve"> </t>
  </si>
  <si>
    <t xml:space="preserve">Pozitivne kursne razlike </t>
  </si>
  <si>
    <t>Prosečno vreme naplate kupaca</t>
  </si>
  <si>
    <t>% internog finansiranja</t>
  </si>
  <si>
    <t>Prosečno vreme naplate kupaca (dana)</t>
  </si>
  <si>
    <t>BILANS USPEHA METALAC-HOLDING ZA PERIOD JANUAR-DECEMBAR 2009.god (ino)</t>
  </si>
  <si>
    <t>BILANS USPEHA METALAC-HOLDING ZA PERIOD JANUAR-DECEMBAR 2009.god (domaće)</t>
  </si>
  <si>
    <t>BILANS STANJA METALAC-HOLDING ZA PERIOD JANUAR -DECEMBAR 2009.god (ino)</t>
  </si>
  <si>
    <t>BILANS STANJA METALAC-HOLDING ZA PERIOD JANUAR -DECEMBAR 2009.god (domaće)</t>
  </si>
  <si>
    <t>IZVEŠTAJ O TOKOVIMA GOTOVINE METALAC HOLDING ZA PERIOD JANUAR-DECEMBAR 2009.god.(ino)</t>
  </si>
  <si>
    <t>IZVEŠTAJ O TOKOVIMA GOTOVINE METALAC HOLDING ZA PERIOD JANUAR-DECEMBAR 2009.god.(domaće)</t>
  </si>
  <si>
    <t>FINANSIJSKI POKAZATELJI METALAC HOLDING ZA PERIOD JANUAR-DECEMBAR 2009.god.(domaće)</t>
  </si>
  <si>
    <t>FINANSIJSKI POKAZATELJI  METALAC HOLDING ZA PERIOD JANUAR-DECEMBAR 2009.god.(ino)</t>
  </si>
  <si>
    <t xml:space="preserve">NETO DOBITAK / GUBITAK </t>
  </si>
  <si>
    <t>METPOR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</si>
</sst>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  <numFmt numFmtId="176" formatCode="#,##0;[Black]\(#,##0\)"/>
  </numFmts>
  <fonts count="10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6" fontId="4" fillId="0" borderId="4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top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4" fontId="9" fillId="0" borderId="1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25">
      <selection activeCell="D69" sqref="D69"/>
    </sheetView>
  </sheetViews>
  <sheetFormatPr defaultColWidth="9.140625" defaultRowHeight="12.75"/>
  <cols>
    <col min="1" max="1" width="30.8515625" style="39" customWidth="1"/>
    <col min="2" max="2" width="11.421875" style="39" customWidth="1"/>
    <col min="3" max="9" width="10.71093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82" t="s">
        <v>110</v>
      </c>
      <c r="B1" s="82"/>
      <c r="C1" s="82"/>
      <c r="D1" s="82"/>
      <c r="E1" s="82"/>
      <c r="F1" s="82"/>
      <c r="G1" s="82"/>
      <c r="H1" s="82"/>
      <c r="I1" s="75"/>
    </row>
    <row r="2" spans="1:9" ht="14.25" customHeight="1">
      <c r="A2" s="83"/>
      <c r="B2" s="83"/>
      <c r="C2" s="83"/>
      <c r="D2" s="83"/>
      <c r="E2" s="83"/>
      <c r="F2" s="83"/>
      <c r="G2" s="83"/>
      <c r="H2" s="83"/>
      <c r="I2" s="76"/>
    </row>
    <row r="3" spans="1:11" ht="16.5" customHeight="1" thickBot="1">
      <c r="A3" s="1"/>
      <c r="B3" s="1"/>
      <c r="C3" s="40"/>
      <c r="D3" s="25"/>
      <c r="E3" s="25"/>
      <c r="F3" s="25"/>
      <c r="G3" s="41"/>
      <c r="H3" s="41"/>
      <c r="I3" s="41"/>
      <c r="K3" s="44" t="s">
        <v>0</v>
      </c>
    </row>
    <row r="4" spans="1:11" ht="16.5" customHeight="1">
      <c r="A4" s="10"/>
      <c r="B4" s="60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118</v>
      </c>
      <c r="J4" s="61" t="s">
        <v>8</v>
      </c>
      <c r="K4" s="62" t="s">
        <v>9</v>
      </c>
    </row>
    <row r="5" spans="1:11" ht="12.75" customHeight="1">
      <c r="A5" s="11" t="s">
        <v>43</v>
      </c>
      <c r="B5" s="5">
        <f>B7+B11+B12+B13+B14</f>
        <v>578003</v>
      </c>
      <c r="C5" s="5">
        <f>C7+C11+C12+C13+C14</f>
        <v>1807899</v>
      </c>
      <c r="D5" s="5">
        <f>D7+D11+D12+D13+D14</f>
        <v>162938</v>
      </c>
      <c r="E5" s="5">
        <f>E7+E11+E12+E13+E14</f>
        <v>195618</v>
      </c>
      <c r="F5" s="5">
        <f aca="true" t="shared" si="0" ref="F5:K5">SUM(F11:F14)+F7</f>
        <v>249787</v>
      </c>
      <c r="G5" s="5">
        <f t="shared" si="0"/>
        <v>653755</v>
      </c>
      <c r="H5" s="5">
        <f t="shared" si="0"/>
        <v>267676</v>
      </c>
      <c r="I5" s="5">
        <f t="shared" si="0"/>
        <v>13316</v>
      </c>
      <c r="J5" s="5">
        <f t="shared" si="0"/>
        <v>526085</v>
      </c>
      <c r="K5" s="12">
        <f t="shared" si="0"/>
        <v>530885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44</v>
      </c>
      <c r="B7" s="4">
        <f aca="true" t="shared" si="1" ref="B7:K7">SUM(B8:B9)</f>
        <v>310397</v>
      </c>
      <c r="C7" s="4">
        <f t="shared" si="1"/>
        <v>1761743</v>
      </c>
      <c r="D7" s="4">
        <f t="shared" si="1"/>
        <v>160766</v>
      </c>
      <c r="E7" s="4">
        <f t="shared" si="1"/>
        <v>195541</v>
      </c>
      <c r="F7" s="4">
        <f t="shared" si="1"/>
        <v>228226</v>
      </c>
      <c r="G7" s="4">
        <f t="shared" si="1"/>
        <v>650520</v>
      </c>
      <c r="H7" s="4">
        <f t="shared" si="1"/>
        <v>267196</v>
      </c>
      <c r="I7" s="4">
        <f t="shared" si="1"/>
        <v>12228</v>
      </c>
      <c r="J7" s="4">
        <f t="shared" si="1"/>
        <v>506590</v>
      </c>
      <c r="K7" s="15">
        <f t="shared" si="1"/>
        <v>496649</v>
      </c>
    </row>
    <row r="8" spans="1:11" ht="12.75" customHeight="1">
      <c r="A8" s="13" t="s">
        <v>45</v>
      </c>
      <c r="B8" s="3">
        <v>237211</v>
      </c>
      <c r="C8" s="3">
        <v>655094</v>
      </c>
      <c r="D8" s="3">
        <v>104238</v>
      </c>
      <c r="E8" s="3">
        <v>195039</v>
      </c>
      <c r="F8" s="3">
        <v>188380</v>
      </c>
      <c r="G8" s="3">
        <v>650520</v>
      </c>
      <c r="H8" s="3">
        <v>208460</v>
      </c>
      <c r="I8" s="3">
        <v>12228</v>
      </c>
      <c r="J8" s="3">
        <v>506590</v>
      </c>
      <c r="K8" s="14">
        <v>496649</v>
      </c>
    </row>
    <row r="9" spans="1:11" ht="12.75" customHeight="1">
      <c r="A9" s="13" t="s">
        <v>46</v>
      </c>
      <c r="B9" s="3">
        <v>73186</v>
      </c>
      <c r="C9" s="3">
        <v>1106649</v>
      </c>
      <c r="D9" s="3">
        <v>56528</v>
      </c>
      <c r="E9" s="3">
        <v>502</v>
      </c>
      <c r="F9" s="3">
        <v>39846</v>
      </c>
      <c r="G9" s="3">
        <v>0</v>
      </c>
      <c r="H9" s="3">
        <v>58736</v>
      </c>
      <c r="I9" s="3"/>
      <c r="J9" s="3">
        <v>0</v>
      </c>
      <c r="K9" s="14">
        <v>0</v>
      </c>
    </row>
    <row r="10" spans="1:11" ht="12.7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14"/>
    </row>
    <row r="11" spans="1:11" ht="12.75" customHeight="1">
      <c r="A11" s="13" t="s">
        <v>47</v>
      </c>
      <c r="B11" s="3">
        <v>1678</v>
      </c>
      <c r="C11" s="3">
        <v>13153</v>
      </c>
      <c r="D11" s="3">
        <v>0</v>
      </c>
      <c r="E11" s="24">
        <v>0</v>
      </c>
      <c r="F11" s="3">
        <v>306</v>
      </c>
      <c r="G11" s="3">
        <v>0</v>
      </c>
      <c r="H11" s="3">
        <v>0</v>
      </c>
      <c r="I11" s="3"/>
      <c r="J11" s="3">
        <v>990</v>
      </c>
      <c r="K11" s="14">
        <v>1211</v>
      </c>
    </row>
    <row r="12" spans="1:11" ht="12.75" customHeight="1">
      <c r="A12" s="13" t="s">
        <v>48</v>
      </c>
      <c r="B12" s="3"/>
      <c r="C12" s="3">
        <v>0</v>
      </c>
      <c r="D12" s="3">
        <v>4967</v>
      </c>
      <c r="E12" s="3">
        <v>0</v>
      </c>
      <c r="F12" s="3">
        <v>18399</v>
      </c>
      <c r="G12" s="3">
        <v>0</v>
      </c>
      <c r="H12" s="3">
        <v>0</v>
      </c>
      <c r="I12" s="3"/>
      <c r="J12" s="3">
        <v>0</v>
      </c>
      <c r="K12" s="14">
        <v>0</v>
      </c>
    </row>
    <row r="13" spans="1:11" ht="12.75" customHeight="1">
      <c r="A13" s="13" t="s">
        <v>49</v>
      </c>
      <c r="B13" s="3"/>
      <c r="C13" s="24">
        <v>-4243</v>
      </c>
      <c r="D13" s="24">
        <v>-2911</v>
      </c>
      <c r="E13" s="24">
        <v>-1293</v>
      </c>
      <c r="F13" s="24">
        <v>0</v>
      </c>
      <c r="G13" s="3">
        <v>0</v>
      </c>
      <c r="H13" s="3">
        <v>0</v>
      </c>
      <c r="I13" s="3"/>
      <c r="J13" s="3">
        <v>0</v>
      </c>
      <c r="K13" s="14">
        <v>0</v>
      </c>
    </row>
    <row r="14" spans="1:11" ht="12.75" customHeight="1">
      <c r="A14" s="13" t="s">
        <v>50</v>
      </c>
      <c r="B14" s="3">
        <v>265928</v>
      </c>
      <c r="C14" s="3">
        <v>37246</v>
      </c>
      <c r="D14" s="3">
        <v>116</v>
      </c>
      <c r="E14" s="3">
        <v>1370</v>
      </c>
      <c r="F14" s="3">
        <v>2856</v>
      </c>
      <c r="G14" s="3">
        <v>3235</v>
      </c>
      <c r="H14" s="3">
        <v>480</v>
      </c>
      <c r="I14" s="3">
        <v>1088</v>
      </c>
      <c r="J14" s="3">
        <v>18505</v>
      </c>
      <c r="K14" s="14">
        <v>33025</v>
      </c>
    </row>
    <row r="15" spans="1:11" ht="12.75" customHeight="1">
      <c r="A15" s="13"/>
      <c r="B15" s="3"/>
      <c r="C15" s="3"/>
      <c r="D15" s="3"/>
      <c r="E15" s="3"/>
      <c r="F15" s="3"/>
      <c r="G15" s="4"/>
      <c r="H15" s="4"/>
      <c r="I15" s="4"/>
      <c r="J15" s="4"/>
      <c r="K15" s="15"/>
    </row>
    <row r="16" spans="1:11" ht="12.75" customHeight="1">
      <c r="A16" s="11" t="s">
        <v>51</v>
      </c>
      <c r="B16" s="4">
        <f aca="true" t="shared" si="2" ref="B16:K16">SUM(B18:B22)</f>
        <v>505480</v>
      </c>
      <c r="C16" s="4">
        <f t="shared" si="2"/>
        <v>1495500</v>
      </c>
      <c r="D16" s="4">
        <f t="shared" si="2"/>
        <v>156655</v>
      </c>
      <c r="E16" s="4">
        <f t="shared" si="2"/>
        <v>188292</v>
      </c>
      <c r="F16" s="4">
        <f t="shared" si="2"/>
        <v>247858</v>
      </c>
      <c r="G16" s="4">
        <f t="shared" si="2"/>
        <v>693630</v>
      </c>
      <c r="H16" s="4">
        <f t="shared" si="2"/>
        <v>197381</v>
      </c>
      <c r="I16" s="4">
        <f t="shared" si="2"/>
        <v>12777</v>
      </c>
      <c r="J16" s="4">
        <f t="shared" si="2"/>
        <v>518282</v>
      </c>
      <c r="K16" s="15">
        <f t="shared" si="2"/>
        <v>516560</v>
      </c>
    </row>
    <row r="17" spans="1:11" ht="12.7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52</v>
      </c>
      <c r="B18" s="3">
        <v>6109</v>
      </c>
      <c r="C18" s="3">
        <v>5989</v>
      </c>
      <c r="D18" s="3">
        <v>3144</v>
      </c>
      <c r="E18" s="3">
        <v>616</v>
      </c>
      <c r="F18" s="3">
        <v>1849</v>
      </c>
      <c r="G18" s="3">
        <v>513280</v>
      </c>
      <c r="H18" s="3">
        <v>151005</v>
      </c>
      <c r="I18" s="3">
        <v>2806</v>
      </c>
      <c r="J18" s="3">
        <v>435696</v>
      </c>
      <c r="K18" s="14">
        <v>408495</v>
      </c>
    </row>
    <row r="19" spans="1:11" ht="12.75" customHeight="1">
      <c r="A19" s="13" t="s">
        <v>53</v>
      </c>
      <c r="B19" s="3">
        <v>148772</v>
      </c>
      <c r="C19" s="3">
        <v>801662</v>
      </c>
      <c r="D19" s="3">
        <v>85220</v>
      </c>
      <c r="E19" s="3">
        <v>121285</v>
      </c>
      <c r="F19" s="3">
        <v>147473</v>
      </c>
      <c r="G19" s="3">
        <v>7534</v>
      </c>
      <c r="H19" s="3">
        <v>3356</v>
      </c>
      <c r="I19" s="3">
        <v>318</v>
      </c>
      <c r="J19" s="3">
        <v>7675</v>
      </c>
      <c r="K19" s="14">
        <v>18535</v>
      </c>
    </row>
    <row r="20" spans="1:11" ht="12.75" customHeight="1">
      <c r="A20" s="13" t="s">
        <v>54</v>
      </c>
      <c r="B20" s="3">
        <v>118207</v>
      </c>
      <c r="C20" s="3">
        <v>340782</v>
      </c>
      <c r="D20" s="3">
        <v>21057</v>
      </c>
      <c r="E20" s="3">
        <v>31587</v>
      </c>
      <c r="F20" s="3">
        <v>33265</v>
      </c>
      <c r="G20" s="3">
        <v>72838</v>
      </c>
      <c r="H20" s="3">
        <v>13857</v>
      </c>
      <c r="I20" s="3">
        <v>8347</v>
      </c>
      <c r="J20" s="3">
        <v>43044</v>
      </c>
      <c r="K20" s="14">
        <v>61751</v>
      </c>
    </row>
    <row r="21" spans="1:11" ht="12.75" customHeight="1">
      <c r="A21" s="13" t="s">
        <v>55</v>
      </c>
      <c r="B21" s="3">
        <v>119639</v>
      </c>
      <c r="C21" s="3">
        <v>15833</v>
      </c>
      <c r="D21" s="3">
        <v>12052</v>
      </c>
      <c r="E21" s="3">
        <v>611</v>
      </c>
      <c r="F21" s="3">
        <v>13870</v>
      </c>
      <c r="G21" s="3">
        <v>1449</v>
      </c>
      <c r="H21" s="3">
        <v>1305</v>
      </c>
      <c r="I21" s="3">
        <v>377</v>
      </c>
      <c r="J21" s="3">
        <v>13429</v>
      </c>
      <c r="K21" s="14">
        <v>13268</v>
      </c>
    </row>
    <row r="22" spans="1:11" ht="12.75" customHeight="1">
      <c r="A22" s="13" t="s">
        <v>56</v>
      </c>
      <c r="B22" s="3">
        <v>112753</v>
      </c>
      <c r="C22" s="3">
        <v>331234</v>
      </c>
      <c r="D22" s="3">
        <v>35182</v>
      </c>
      <c r="E22" s="3">
        <v>34193</v>
      </c>
      <c r="F22" s="3">
        <v>51401</v>
      </c>
      <c r="G22" s="3">
        <v>98529</v>
      </c>
      <c r="H22" s="3">
        <v>27858</v>
      </c>
      <c r="I22" s="3">
        <v>929</v>
      </c>
      <c r="J22" s="3">
        <v>18438</v>
      </c>
      <c r="K22" s="14">
        <v>14511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57</v>
      </c>
      <c r="B24" s="4">
        <f aca="true" t="shared" si="3" ref="B24:K24">SUM(B5-B16)</f>
        <v>72523</v>
      </c>
      <c r="C24" s="4">
        <f t="shared" si="3"/>
        <v>312399</v>
      </c>
      <c r="D24" s="26">
        <f t="shared" si="3"/>
        <v>6283</v>
      </c>
      <c r="E24" s="26">
        <f t="shared" si="3"/>
        <v>7326</v>
      </c>
      <c r="F24" s="26">
        <f t="shared" si="3"/>
        <v>1929</v>
      </c>
      <c r="G24" s="26">
        <f t="shared" si="3"/>
        <v>-39875</v>
      </c>
      <c r="H24" s="26">
        <f t="shared" si="3"/>
        <v>70295</v>
      </c>
      <c r="I24" s="26">
        <f t="shared" si="3"/>
        <v>539</v>
      </c>
      <c r="J24" s="26">
        <f t="shared" si="3"/>
        <v>7803</v>
      </c>
      <c r="K24" s="30">
        <f t="shared" si="3"/>
        <v>14325</v>
      </c>
    </row>
    <row r="25" spans="1:11" ht="12.75" customHeight="1">
      <c r="A25" s="18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23" t="s">
        <v>58</v>
      </c>
      <c r="B26" s="4">
        <v>286156</v>
      </c>
      <c r="C26" s="4">
        <v>81534</v>
      </c>
      <c r="D26" s="26">
        <v>3855</v>
      </c>
      <c r="E26" s="4">
        <v>570</v>
      </c>
      <c r="F26" s="4">
        <v>2880</v>
      </c>
      <c r="G26" s="4">
        <v>4040</v>
      </c>
      <c r="H26" s="4">
        <v>7662</v>
      </c>
      <c r="I26" s="4">
        <v>98</v>
      </c>
      <c r="J26" s="4">
        <v>5385</v>
      </c>
      <c r="K26" s="15">
        <v>5242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59</v>
      </c>
      <c r="B28" s="4">
        <v>108699</v>
      </c>
      <c r="C28" s="4">
        <v>122446</v>
      </c>
      <c r="D28" s="4">
        <v>19218</v>
      </c>
      <c r="E28" s="4">
        <v>4040</v>
      </c>
      <c r="F28" s="4">
        <v>17438</v>
      </c>
      <c r="G28" s="4">
        <v>10212</v>
      </c>
      <c r="H28" s="4">
        <v>8736</v>
      </c>
      <c r="I28" s="4">
        <v>311</v>
      </c>
      <c r="J28" s="4">
        <v>2709</v>
      </c>
      <c r="K28" s="15">
        <v>13188</v>
      </c>
    </row>
    <row r="29" spans="1:11" ht="12.75" customHeight="1">
      <c r="A29" s="11"/>
      <c r="B29" s="4"/>
      <c r="C29" s="4"/>
      <c r="D29" s="4"/>
      <c r="E29" s="4"/>
      <c r="F29" s="4"/>
      <c r="G29" s="4"/>
      <c r="H29" s="4"/>
      <c r="I29" s="4"/>
      <c r="J29" s="4"/>
      <c r="K29" s="15"/>
    </row>
    <row r="30" spans="1:11" ht="12.75" customHeight="1">
      <c r="A30" s="11" t="s">
        <v>62</v>
      </c>
      <c r="B30" s="26">
        <f>SUM(B26-B28)</f>
        <v>177457</v>
      </c>
      <c r="C30" s="26">
        <f>SUM(C26-C28)</f>
        <v>-40912</v>
      </c>
      <c r="D30" s="26">
        <f aca="true" t="shared" si="4" ref="D30:K30">SUM(D26-D28)</f>
        <v>-15363</v>
      </c>
      <c r="E30" s="26">
        <f t="shared" si="4"/>
        <v>-3470</v>
      </c>
      <c r="F30" s="26">
        <f t="shared" si="4"/>
        <v>-14558</v>
      </c>
      <c r="G30" s="26">
        <f t="shared" si="4"/>
        <v>-6172</v>
      </c>
      <c r="H30" s="26">
        <f t="shared" si="4"/>
        <v>-1074</v>
      </c>
      <c r="I30" s="26">
        <f t="shared" si="4"/>
        <v>-213</v>
      </c>
      <c r="J30" s="26">
        <f t="shared" si="4"/>
        <v>2676</v>
      </c>
      <c r="K30" s="30">
        <f t="shared" si="4"/>
        <v>-7946</v>
      </c>
    </row>
    <row r="31" spans="1:11" ht="12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14"/>
    </row>
    <row r="32" spans="1:11" ht="12.75" customHeight="1">
      <c r="A32" s="11" t="s">
        <v>60</v>
      </c>
      <c r="B32" s="4">
        <v>1461</v>
      </c>
      <c r="C32" s="4">
        <v>784</v>
      </c>
      <c r="D32" s="4">
        <v>1545</v>
      </c>
      <c r="E32" s="4">
        <v>298</v>
      </c>
      <c r="F32" s="4">
        <v>900</v>
      </c>
      <c r="G32" s="4">
        <v>5487</v>
      </c>
      <c r="H32" s="4">
        <v>578</v>
      </c>
      <c r="I32" s="4">
        <v>9</v>
      </c>
      <c r="J32" s="4">
        <v>25922</v>
      </c>
      <c r="K32" s="15">
        <v>7811</v>
      </c>
    </row>
    <row r="33" spans="1:11" ht="12.75" customHeight="1">
      <c r="A33" s="11"/>
      <c r="B33" s="4"/>
      <c r="C33" s="4"/>
      <c r="D33" s="4"/>
      <c r="E33" s="4"/>
      <c r="F33" s="4"/>
      <c r="G33" s="4"/>
      <c r="H33" s="4"/>
      <c r="I33" s="4"/>
      <c r="J33" s="4"/>
      <c r="K33" s="15"/>
    </row>
    <row r="34" spans="1:11" ht="12.75" customHeight="1">
      <c r="A34" s="11" t="s">
        <v>61</v>
      </c>
      <c r="B34" s="4">
        <v>7995</v>
      </c>
      <c r="C34" s="4">
        <v>46299</v>
      </c>
      <c r="D34" s="4">
        <v>5500</v>
      </c>
      <c r="E34" s="4">
        <v>1535</v>
      </c>
      <c r="F34" s="4">
        <v>1323</v>
      </c>
      <c r="G34" s="4">
        <v>14405</v>
      </c>
      <c r="H34" s="4">
        <v>10275</v>
      </c>
      <c r="I34" s="4">
        <v>31</v>
      </c>
      <c r="J34" s="4">
        <v>15767</v>
      </c>
      <c r="K34" s="15">
        <v>26538</v>
      </c>
    </row>
    <row r="35" spans="1:11" ht="12.75" customHeight="1">
      <c r="A35" s="11"/>
      <c r="B35" s="4"/>
      <c r="C35" s="4"/>
      <c r="D35" s="4"/>
      <c r="E35" s="4"/>
      <c r="F35" s="4"/>
      <c r="G35" s="4"/>
      <c r="H35" s="4"/>
      <c r="I35" s="4"/>
      <c r="J35" s="4"/>
      <c r="K35" s="15"/>
    </row>
    <row r="36" spans="1:11" ht="12.75" customHeight="1">
      <c r="A36" s="11" t="s">
        <v>63</v>
      </c>
      <c r="B36" s="26">
        <f>B32-B34</f>
        <v>-6534</v>
      </c>
      <c r="C36" s="26">
        <f>C32-C34</f>
        <v>-45515</v>
      </c>
      <c r="D36" s="26">
        <f aca="true" t="shared" si="5" ref="D36:K36">D32-D34</f>
        <v>-3955</v>
      </c>
      <c r="E36" s="26">
        <f t="shared" si="5"/>
        <v>-1237</v>
      </c>
      <c r="F36" s="26">
        <f t="shared" si="5"/>
        <v>-423</v>
      </c>
      <c r="G36" s="26">
        <f t="shared" si="5"/>
        <v>-8918</v>
      </c>
      <c r="H36" s="26">
        <f t="shared" si="5"/>
        <v>-9697</v>
      </c>
      <c r="I36" s="26">
        <f t="shared" si="5"/>
        <v>-22</v>
      </c>
      <c r="J36" s="26">
        <f t="shared" si="5"/>
        <v>10155</v>
      </c>
      <c r="K36" s="30">
        <f t="shared" si="5"/>
        <v>-18727</v>
      </c>
    </row>
    <row r="37" spans="1:11" ht="12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14"/>
    </row>
    <row r="38" spans="1:11" ht="12.75" customHeight="1">
      <c r="A38" s="11" t="s">
        <v>64</v>
      </c>
      <c r="B38" s="4">
        <f>SUM(B24+B26+B32-B28-B34)</f>
        <v>243446</v>
      </c>
      <c r="C38" s="4">
        <f>SUM(C24+C26+C32-C28-C34)</f>
        <v>225972</v>
      </c>
      <c r="D38" s="26">
        <f aca="true" t="shared" si="6" ref="D38:K38">SUM(D24+D26+D32-D28-D34)</f>
        <v>-13035</v>
      </c>
      <c r="E38" s="26">
        <f t="shared" si="6"/>
        <v>2619</v>
      </c>
      <c r="F38" s="26">
        <f t="shared" si="6"/>
        <v>-13052</v>
      </c>
      <c r="G38" s="26">
        <f t="shared" si="6"/>
        <v>-54965</v>
      </c>
      <c r="H38" s="26">
        <f t="shared" si="6"/>
        <v>59524</v>
      </c>
      <c r="I38" s="26">
        <f t="shared" si="6"/>
        <v>304</v>
      </c>
      <c r="J38" s="26">
        <f t="shared" si="6"/>
        <v>20634</v>
      </c>
      <c r="K38" s="30">
        <f t="shared" si="6"/>
        <v>-12348</v>
      </c>
    </row>
    <row r="39" spans="1:11" ht="12.75" customHeight="1">
      <c r="A39" s="11"/>
      <c r="B39" s="4"/>
      <c r="C39" s="4"/>
      <c r="D39" s="26"/>
      <c r="E39" s="26"/>
      <c r="F39" s="26"/>
      <c r="G39" s="26"/>
      <c r="H39" s="26"/>
      <c r="I39" s="26"/>
      <c r="J39" s="26"/>
      <c r="K39" s="30"/>
    </row>
    <row r="40" spans="1:11" ht="12.75" customHeight="1" thickBot="1">
      <c r="A40" s="20" t="s">
        <v>117</v>
      </c>
      <c r="B40" s="21">
        <v>241846</v>
      </c>
      <c r="C40" s="21">
        <v>225883</v>
      </c>
      <c r="D40" s="27">
        <v>-13111</v>
      </c>
      <c r="E40" s="27">
        <v>2077</v>
      </c>
      <c r="F40" s="27">
        <v>-13275</v>
      </c>
      <c r="G40" s="27">
        <v>-54909</v>
      </c>
      <c r="H40" s="27">
        <v>53237</v>
      </c>
      <c r="I40" s="27">
        <v>292</v>
      </c>
      <c r="J40" s="27">
        <v>18738</v>
      </c>
      <c r="K40" s="31">
        <v>-12470</v>
      </c>
    </row>
    <row r="41" spans="1:9" ht="16.5" customHeight="1">
      <c r="A41" s="82" t="s">
        <v>109</v>
      </c>
      <c r="B41" s="82"/>
      <c r="C41" s="82"/>
      <c r="D41" s="82"/>
      <c r="E41" s="82"/>
      <c r="F41" s="82"/>
      <c r="G41" s="82"/>
      <c r="H41" s="82"/>
      <c r="I41" s="75"/>
    </row>
    <row r="42" spans="1:5" ht="15.75" thickBot="1">
      <c r="A42" s="1"/>
      <c r="B42" s="1"/>
      <c r="C42" s="40"/>
      <c r="D42" s="32" t="s">
        <v>13</v>
      </c>
      <c r="E42" s="2"/>
    </row>
    <row r="43" spans="1:5" ht="21">
      <c r="A43" s="10"/>
      <c r="B43" s="63" t="s">
        <v>10</v>
      </c>
      <c r="C43" s="61" t="s">
        <v>11</v>
      </c>
      <c r="D43" s="62" t="s">
        <v>12</v>
      </c>
      <c r="E43" s="6"/>
    </row>
    <row r="44" spans="1:7" ht="12.75" customHeight="1">
      <c r="A44" s="11" t="s">
        <v>43</v>
      </c>
      <c r="B44" s="5">
        <f>SUM(B46+B50+B51+B53)</f>
        <v>5588446</v>
      </c>
      <c r="C44" s="5">
        <f>SUM(C46+C50+C51+C53)</f>
        <v>1828372</v>
      </c>
      <c r="D44" s="12">
        <f>SUM(D46+D50+D51+D53)</f>
        <v>933738</v>
      </c>
      <c r="E44" s="7"/>
      <c r="G44" s="43"/>
    </row>
    <row r="45" spans="1:5" ht="12.75" customHeight="1">
      <c r="A45" s="13"/>
      <c r="B45" s="3"/>
      <c r="C45" s="3"/>
      <c r="D45" s="14"/>
      <c r="E45" s="8"/>
    </row>
    <row r="46" spans="1:5" ht="12.75" customHeight="1">
      <c r="A46" s="11" t="s">
        <v>44</v>
      </c>
      <c r="B46" s="4">
        <f>SUM(B47:B48)</f>
        <v>5440356</v>
      </c>
      <c r="C46" s="4">
        <f>SUM(C47:C48)</f>
        <v>1822321</v>
      </c>
      <c r="D46" s="15">
        <f>SUM(D47:D48)</f>
        <v>933738</v>
      </c>
      <c r="E46" s="8"/>
    </row>
    <row r="47" spans="1:5" ht="12.75" customHeight="1">
      <c r="A47" s="13" t="s">
        <v>45</v>
      </c>
      <c r="B47" s="3">
        <v>5308376</v>
      </c>
      <c r="C47" s="3">
        <v>1822321</v>
      </c>
      <c r="D47" s="14">
        <v>933738</v>
      </c>
      <c r="E47" s="8"/>
    </row>
    <row r="48" spans="1:5" ht="12.75" customHeight="1">
      <c r="A48" s="13" t="s">
        <v>46</v>
      </c>
      <c r="B48" s="3">
        <v>131980</v>
      </c>
      <c r="C48" s="3">
        <v>0</v>
      </c>
      <c r="D48" s="14">
        <v>0</v>
      </c>
      <c r="E48" s="8"/>
    </row>
    <row r="49" spans="1:5" ht="12.75" customHeight="1">
      <c r="A49" s="13"/>
      <c r="B49" s="3"/>
      <c r="C49" s="3"/>
      <c r="D49" s="14"/>
      <c r="E49" s="8"/>
    </row>
    <row r="50" spans="1:5" ht="12.75" customHeight="1">
      <c r="A50" s="13" t="s">
        <v>47</v>
      </c>
      <c r="B50" s="3">
        <v>0</v>
      </c>
      <c r="C50" s="3">
        <v>0</v>
      </c>
      <c r="D50" s="14">
        <v>0</v>
      </c>
      <c r="E50" s="8"/>
    </row>
    <row r="51" spans="1:5" ht="12.75" customHeight="1">
      <c r="A51" s="13" t="s">
        <v>48</v>
      </c>
      <c r="B51" s="3">
        <v>0</v>
      </c>
      <c r="C51" s="3">
        <v>0</v>
      </c>
      <c r="D51" s="14">
        <v>0</v>
      </c>
      <c r="E51" s="8"/>
    </row>
    <row r="52" spans="1:5" ht="12.75" customHeight="1">
      <c r="A52" s="13" t="s">
        <v>49</v>
      </c>
      <c r="B52" s="3">
        <v>0</v>
      </c>
      <c r="C52" s="3">
        <v>0</v>
      </c>
      <c r="D52" s="14">
        <v>0</v>
      </c>
      <c r="E52" s="8"/>
    </row>
    <row r="53" spans="1:5" ht="12.75" customHeight="1">
      <c r="A53" s="13" t="s">
        <v>50</v>
      </c>
      <c r="B53" s="3">
        <v>148090</v>
      </c>
      <c r="C53" s="3">
        <v>6051</v>
      </c>
      <c r="D53" s="14">
        <v>0</v>
      </c>
      <c r="E53" s="9"/>
    </row>
    <row r="54" spans="1:5" ht="12.75" customHeight="1">
      <c r="A54" s="13"/>
      <c r="B54" s="3"/>
      <c r="C54" s="3"/>
      <c r="D54" s="14"/>
      <c r="E54" s="8"/>
    </row>
    <row r="55" spans="1:5" ht="12.75" customHeight="1">
      <c r="A55" s="11" t="s">
        <v>51</v>
      </c>
      <c r="B55" s="4">
        <f>SUM(B57:B61)</f>
        <v>4967613</v>
      </c>
      <c r="C55" s="4">
        <f>SUM(C57:C61)</f>
        <v>1792793</v>
      </c>
      <c r="D55" s="15">
        <f>SUM(D57:D61)</f>
        <v>873719</v>
      </c>
      <c r="E55" s="8"/>
    </row>
    <row r="56" spans="1:5" ht="12.75" customHeight="1">
      <c r="A56" s="13"/>
      <c r="B56" s="3"/>
      <c r="C56" s="3"/>
      <c r="D56" s="14"/>
      <c r="E56" s="8"/>
    </row>
    <row r="57" spans="1:5" ht="12.75" customHeight="1">
      <c r="A57" s="13" t="s">
        <v>52</v>
      </c>
      <c r="B57" s="3">
        <v>3763628</v>
      </c>
      <c r="C57" s="3">
        <v>1526014</v>
      </c>
      <c r="D57" s="14">
        <v>643730</v>
      </c>
      <c r="E57" s="8"/>
    </row>
    <row r="58" spans="1:5" ht="12.75" customHeight="1">
      <c r="A58" s="13" t="s">
        <v>53</v>
      </c>
      <c r="B58" s="3">
        <v>89471</v>
      </c>
      <c r="C58" s="3">
        <v>0</v>
      </c>
      <c r="D58" s="14">
        <v>7176</v>
      </c>
      <c r="E58" s="8"/>
    </row>
    <row r="59" spans="1:5" ht="12.75" customHeight="1">
      <c r="A59" s="13" t="s">
        <v>54</v>
      </c>
      <c r="B59" s="3">
        <v>484802</v>
      </c>
      <c r="C59" s="3">
        <v>146484</v>
      </c>
      <c r="D59" s="14">
        <v>101231</v>
      </c>
      <c r="E59" s="8"/>
    </row>
    <row r="60" spans="1:5" ht="12.75" customHeight="1">
      <c r="A60" s="13" t="s">
        <v>55</v>
      </c>
      <c r="B60" s="3">
        <v>77383</v>
      </c>
      <c r="C60" s="3">
        <v>11372</v>
      </c>
      <c r="D60" s="14">
        <v>12448</v>
      </c>
      <c r="E60" s="8"/>
    </row>
    <row r="61" spans="1:5" ht="12.75" customHeight="1">
      <c r="A61" s="13" t="s">
        <v>56</v>
      </c>
      <c r="B61" s="3">
        <f>383016+139871+29442</f>
        <v>552329</v>
      </c>
      <c r="C61" s="3">
        <f>51372+57551</f>
        <v>108923</v>
      </c>
      <c r="D61" s="14">
        <f>40954+39976+28204</f>
        <v>109134</v>
      </c>
      <c r="E61" s="8"/>
    </row>
    <row r="62" spans="1:5" ht="12.75" customHeight="1">
      <c r="A62" s="13"/>
      <c r="B62" s="3"/>
      <c r="C62" s="3"/>
      <c r="D62" s="14"/>
      <c r="E62" s="8"/>
    </row>
    <row r="63" spans="1:5" ht="12.75" customHeight="1">
      <c r="A63" s="11" t="s">
        <v>57</v>
      </c>
      <c r="B63" s="4">
        <f>SUM(B44-B55)</f>
        <v>620833</v>
      </c>
      <c r="C63" s="26">
        <f>SUM(C44-C55)</f>
        <v>35579</v>
      </c>
      <c r="D63" s="15">
        <f>SUM(D44-D55)</f>
        <v>60019</v>
      </c>
      <c r="E63" s="8"/>
    </row>
    <row r="64" spans="1:5" ht="12.75" customHeight="1">
      <c r="A64" s="18"/>
      <c r="B64" s="3"/>
      <c r="C64" s="3"/>
      <c r="D64" s="14"/>
      <c r="E64" s="8"/>
    </row>
    <row r="65" spans="1:5" ht="12.75" customHeight="1">
      <c r="A65" s="23" t="s">
        <v>58</v>
      </c>
      <c r="B65" s="4">
        <v>391432</v>
      </c>
      <c r="C65" s="4">
        <v>13635</v>
      </c>
      <c r="D65" s="15">
        <v>6188</v>
      </c>
      <c r="E65" s="9"/>
    </row>
    <row r="66" spans="1:5" ht="12.75" customHeight="1">
      <c r="A66" s="17"/>
      <c r="B66" s="3"/>
      <c r="C66" s="3"/>
      <c r="D66" s="14"/>
      <c r="E66" s="8"/>
    </row>
    <row r="67" spans="1:5" ht="12.75" customHeight="1">
      <c r="A67" s="11" t="s">
        <v>59</v>
      </c>
      <c r="B67" s="4">
        <v>613799</v>
      </c>
      <c r="C67" s="4">
        <v>0</v>
      </c>
      <c r="D67" s="15">
        <v>10990</v>
      </c>
      <c r="E67" s="8"/>
    </row>
    <row r="68" spans="1:7" ht="12.75" customHeight="1">
      <c r="A68" s="11"/>
      <c r="B68" s="3"/>
      <c r="C68" s="3"/>
      <c r="D68" s="14"/>
      <c r="E68" s="8"/>
      <c r="G68" s="43"/>
    </row>
    <row r="69" spans="1:5" ht="12.75" customHeight="1">
      <c r="A69" s="11" t="s">
        <v>62</v>
      </c>
      <c r="B69" s="26">
        <f>SUM(B65-B67)</f>
        <v>-222367</v>
      </c>
      <c r="C69" s="26">
        <f>SUM(C65-C67)</f>
        <v>13635</v>
      </c>
      <c r="D69" s="30">
        <f>SUM(D65-D67)</f>
        <v>-4802</v>
      </c>
      <c r="E69" s="8"/>
    </row>
    <row r="70" spans="1:5" ht="12.75" customHeight="1">
      <c r="A70" s="13"/>
      <c r="B70" s="3"/>
      <c r="C70" s="3"/>
      <c r="D70" s="14"/>
      <c r="E70" s="8"/>
    </row>
    <row r="71" spans="1:5" ht="12.75" customHeight="1">
      <c r="A71" s="11" t="s">
        <v>60</v>
      </c>
      <c r="B71" s="4">
        <v>1673</v>
      </c>
      <c r="C71" s="4">
        <v>0</v>
      </c>
      <c r="D71" s="15">
        <v>0</v>
      </c>
      <c r="E71" s="9"/>
    </row>
    <row r="72" spans="1:5" ht="12.75" customHeight="1">
      <c r="A72" s="11"/>
      <c r="B72" s="3"/>
      <c r="C72" s="3"/>
      <c r="D72" s="14"/>
      <c r="E72" s="8"/>
    </row>
    <row r="73" spans="1:5" ht="12.75" customHeight="1">
      <c r="A73" s="11" t="s">
        <v>61</v>
      </c>
      <c r="B73" s="28">
        <v>244141</v>
      </c>
      <c r="C73" s="28">
        <v>0</v>
      </c>
      <c r="D73" s="29">
        <v>54332</v>
      </c>
      <c r="E73" s="9"/>
    </row>
    <row r="74" spans="1:4" ht="12.75">
      <c r="A74" s="11"/>
      <c r="B74" s="45"/>
      <c r="C74" s="45"/>
      <c r="D74" s="46"/>
    </row>
    <row r="75" spans="1:4" ht="12.75">
      <c r="A75" s="11" t="s">
        <v>63</v>
      </c>
      <c r="B75" s="26">
        <f>SUM(B71-B73)</f>
        <v>-242468</v>
      </c>
      <c r="C75" s="26">
        <f>SUM(C71-C73)</f>
        <v>0</v>
      </c>
      <c r="D75" s="30">
        <f>SUM(D71-D73)</f>
        <v>-54332</v>
      </c>
    </row>
    <row r="76" spans="1:4" ht="12.75">
      <c r="A76" s="13"/>
      <c r="B76" s="45"/>
      <c r="C76" s="45"/>
      <c r="D76" s="46"/>
    </row>
    <row r="77" spans="1:4" ht="12.75">
      <c r="A77" s="71" t="s">
        <v>64</v>
      </c>
      <c r="B77" s="72">
        <f>B63+B65+B71-B67-B73</f>
        <v>155998</v>
      </c>
      <c r="C77" s="72">
        <f>C63+C65+C71-C67-C73</f>
        <v>49214</v>
      </c>
      <c r="D77" s="73">
        <f>D63+D65+D71-D67-D73</f>
        <v>885</v>
      </c>
    </row>
    <row r="78" spans="1:4" ht="12.75">
      <c r="A78" s="74"/>
      <c r="B78" s="45"/>
      <c r="C78" s="45"/>
      <c r="D78" s="46"/>
    </row>
    <row r="79" spans="1:4" ht="13.5" thickBot="1">
      <c r="A79" s="20" t="s">
        <v>117</v>
      </c>
      <c r="B79" s="78">
        <v>118196</v>
      </c>
      <c r="C79" s="78">
        <v>44598</v>
      </c>
      <c r="D79" s="79">
        <v>708</v>
      </c>
    </row>
  </sheetData>
  <mergeCells count="3">
    <mergeCell ref="A1:H1"/>
    <mergeCell ref="A2:H2"/>
    <mergeCell ref="A41:H41"/>
  </mergeCells>
  <printOptions/>
  <pageMargins left="0.75" right="0.23" top="0.47" bottom="1" header="0.27" footer="0.5"/>
  <pageSetup horizontalDpi="600" verticalDpi="600" orientation="landscape" paperSize="9" scale="9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D22">
      <selection activeCell="K43" sqref="K43"/>
    </sheetView>
  </sheetViews>
  <sheetFormatPr defaultColWidth="9.140625" defaultRowHeight="12.75"/>
  <cols>
    <col min="1" max="1" width="32.8515625" style="39" customWidth="1"/>
    <col min="2" max="2" width="11.421875" style="39" customWidth="1"/>
    <col min="3" max="9" width="10.71093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82" t="s">
        <v>112</v>
      </c>
      <c r="B1" s="82"/>
      <c r="C1" s="82"/>
      <c r="D1" s="82"/>
      <c r="E1" s="82"/>
      <c r="F1" s="82"/>
      <c r="G1" s="82"/>
      <c r="H1" s="82"/>
      <c r="I1" s="75"/>
    </row>
    <row r="2" spans="1:9" ht="14.25" customHeight="1">
      <c r="A2" s="83"/>
      <c r="B2" s="83"/>
      <c r="C2" s="83"/>
      <c r="D2" s="83"/>
      <c r="E2" s="83"/>
      <c r="F2" s="83"/>
      <c r="G2" s="83"/>
      <c r="H2" s="83"/>
      <c r="I2" s="76"/>
    </row>
    <row r="3" spans="1:11" ht="16.5" customHeight="1" thickBot="1">
      <c r="A3" s="1"/>
      <c r="B3" s="1"/>
      <c r="C3" s="40"/>
      <c r="D3" s="40"/>
      <c r="E3" s="2"/>
      <c r="F3" s="41"/>
      <c r="G3" s="41"/>
      <c r="H3" s="41"/>
      <c r="I3" s="41"/>
      <c r="K3" s="42" t="s">
        <v>0</v>
      </c>
    </row>
    <row r="4" spans="1:11" ht="16.5" customHeight="1">
      <c r="A4" s="10"/>
      <c r="B4" s="60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118</v>
      </c>
      <c r="J4" s="61" t="s">
        <v>8</v>
      </c>
      <c r="K4" s="62" t="s">
        <v>9</v>
      </c>
    </row>
    <row r="5" spans="1:11" ht="12.75" customHeight="1">
      <c r="A5" s="11" t="s">
        <v>20</v>
      </c>
      <c r="B5" s="5">
        <f>SUM(B7+B12+B20)</f>
        <v>3396943</v>
      </c>
      <c r="C5" s="5">
        <f>SUM(C7+C12+C20)</f>
        <v>2069559</v>
      </c>
      <c r="D5" s="5">
        <f>SUM(D7+D12+D20)</f>
        <v>214637</v>
      </c>
      <c r="E5" s="5">
        <f>SUM(E7+E12+E20)</f>
        <v>86872</v>
      </c>
      <c r="F5" s="5">
        <f>SUM(F7+F12+F20)</f>
        <v>248003</v>
      </c>
      <c r="G5" s="5">
        <f>SUM(G7+G12)</f>
        <v>358022</v>
      </c>
      <c r="H5" s="5">
        <f>SUM(H7+H12)</f>
        <v>230444</v>
      </c>
      <c r="I5" s="5">
        <f>SUM(I7+I12)</f>
        <v>20976</v>
      </c>
      <c r="J5" s="5">
        <f>SUM(J7+J12)</f>
        <v>406616</v>
      </c>
      <c r="K5" s="12">
        <f>SUM(K7+K12)</f>
        <v>406591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14</v>
      </c>
      <c r="B7" s="4">
        <f>SUM(B8:B10)</f>
        <v>2700195</v>
      </c>
      <c r="C7" s="4">
        <f aca="true" t="shared" si="0" ref="C7:K7">SUM(C8:C10)</f>
        <v>99657</v>
      </c>
      <c r="D7" s="4">
        <f>SUM(D8:D10)</f>
        <v>85455</v>
      </c>
      <c r="E7" s="4">
        <f t="shared" si="0"/>
        <v>1680</v>
      </c>
      <c r="F7" s="4">
        <f t="shared" si="0"/>
        <v>77428</v>
      </c>
      <c r="G7" s="4">
        <f t="shared" si="0"/>
        <v>6189</v>
      </c>
      <c r="H7" s="4">
        <f t="shared" si="0"/>
        <v>5153</v>
      </c>
      <c r="I7" s="4">
        <f t="shared" si="0"/>
        <v>2548</v>
      </c>
      <c r="J7" s="4">
        <f t="shared" si="0"/>
        <v>114055</v>
      </c>
      <c r="K7" s="15">
        <f t="shared" si="0"/>
        <v>283586</v>
      </c>
    </row>
    <row r="8" spans="1:11" ht="12.75" customHeight="1">
      <c r="A8" s="13" t="s">
        <v>18</v>
      </c>
      <c r="B8" s="3">
        <f>2224+761470+618736</f>
        <v>1382430</v>
      </c>
      <c r="C8" s="3">
        <v>99657</v>
      </c>
      <c r="D8" s="3">
        <v>85455</v>
      </c>
      <c r="E8" s="3">
        <v>1680</v>
      </c>
      <c r="F8" s="3">
        <v>77428</v>
      </c>
      <c r="G8" s="3">
        <v>6189</v>
      </c>
      <c r="H8" s="3">
        <v>5153</v>
      </c>
      <c r="I8" s="3">
        <v>2548</v>
      </c>
      <c r="J8" s="3">
        <v>112797</v>
      </c>
      <c r="K8" s="14">
        <f>199+186166+96891</f>
        <v>283256</v>
      </c>
    </row>
    <row r="9" spans="1:11" ht="12.75" customHeight="1">
      <c r="A9" s="13" t="s">
        <v>19</v>
      </c>
      <c r="B9" s="3">
        <v>578738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1258</v>
      </c>
      <c r="K9" s="14">
        <v>0</v>
      </c>
    </row>
    <row r="10" spans="1:11" ht="12.75" customHeight="1">
      <c r="A10" s="13" t="s">
        <v>36</v>
      </c>
      <c r="B10" s="3">
        <v>739027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4">
        <v>330</v>
      </c>
    </row>
    <row r="11" spans="1:11" ht="12.7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ht="12.75" customHeight="1">
      <c r="A12" s="11" t="s">
        <v>15</v>
      </c>
      <c r="B12" s="4">
        <f aca="true" t="shared" si="1" ref="B12:K12">SUM(B13:B18)</f>
        <v>696748</v>
      </c>
      <c r="C12" s="4">
        <f t="shared" si="1"/>
        <v>1969902</v>
      </c>
      <c r="D12" s="4">
        <f t="shared" si="1"/>
        <v>129182</v>
      </c>
      <c r="E12" s="4">
        <f t="shared" si="1"/>
        <v>85192</v>
      </c>
      <c r="F12" s="4">
        <f t="shared" si="1"/>
        <v>133569</v>
      </c>
      <c r="G12" s="4">
        <f t="shared" si="1"/>
        <v>351833</v>
      </c>
      <c r="H12" s="4">
        <f t="shared" si="1"/>
        <v>225291</v>
      </c>
      <c r="I12" s="4">
        <f t="shared" si="1"/>
        <v>18428</v>
      </c>
      <c r="J12" s="4">
        <f t="shared" si="1"/>
        <v>292561</v>
      </c>
      <c r="K12" s="15">
        <f t="shared" si="1"/>
        <v>123005</v>
      </c>
    </row>
    <row r="13" spans="1:11" ht="12.75" customHeight="1">
      <c r="A13" s="13" t="s">
        <v>40</v>
      </c>
      <c r="B13" s="3">
        <v>3111</v>
      </c>
      <c r="C13" s="3">
        <v>648570</v>
      </c>
      <c r="D13" s="3">
        <v>69891</v>
      </c>
      <c r="E13" s="3">
        <v>22750</v>
      </c>
      <c r="F13" s="3">
        <v>66422</v>
      </c>
      <c r="G13" s="3">
        <v>181932</v>
      </c>
      <c r="H13" s="3">
        <v>83567</v>
      </c>
      <c r="I13" s="3">
        <v>11610</v>
      </c>
      <c r="J13" s="3">
        <v>46399</v>
      </c>
      <c r="K13" s="14">
        <f>69548+6545</f>
        <v>76093</v>
      </c>
    </row>
    <row r="14" spans="1:11" ht="12.75" customHeight="1">
      <c r="A14" s="13" t="s">
        <v>37</v>
      </c>
      <c r="B14" s="3">
        <v>404511</v>
      </c>
      <c r="C14" s="3">
        <f>874298</f>
        <v>874298</v>
      </c>
      <c r="D14" s="3">
        <v>28483</v>
      </c>
      <c r="E14" s="3">
        <v>60221</v>
      </c>
      <c r="F14" s="3">
        <v>40412</v>
      </c>
      <c r="G14" s="3">
        <v>1727</v>
      </c>
      <c r="H14" s="3">
        <v>134245</v>
      </c>
      <c r="I14" s="3">
        <v>4862</v>
      </c>
      <c r="J14" s="3">
        <v>170190</v>
      </c>
      <c r="K14" s="14">
        <v>17810</v>
      </c>
    </row>
    <row r="15" spans="1:11" ht="12.75" customHeight="1">
      <c r="A15" s="13" t="s">
        <v>39</v>
      </c>
      <c r="B15" s="3">
        <v>279061</v>
      </c>
      <c r="C15" s="3">
        <v>3972</v>
      </c>
      <c r="D15" s="3">
        <v>0</v>
      </c>
      <c r="E15" s="3">
        <v>0</v>
      </c>
      <c r="F15" s="3">
        <v>0</v>
      </c>
      <c r="G15" s="3">
        <v>141530</v>
      </c>
      <c r="H15" s="3">
        <v>0</v>
      </c>
      <c r="I15" s="3">
        <v>0</v>
      </c>
      <c r="J15" s="3">
        <v>0</v>
      </c>
      <c r="K15" s="14">
        <v>4759</v>
      </c>
    </row>
    <row r="16" spans="1:11" ht="12.75" customHeight="1">
      <c r="A16" s="13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4">
        <v>0</v>
      </c>
    </row>
    <row r="17" spans="1:11" ht="12.75" customHeight="1">
      <c r="A17" s="13" t="s">
        <v>41</v>
      </c>
      <c r="B17" s="3">
        <v>3099</v>
      </c>
      <c r="C17" s="3">
        <f>17897+3240</f>
        <v>21137</v>
      </c>
      <c r="D17" s="3">
        <f>1729+3653</f>
        <v>5382</v>
      </c>
      <c r="E17" s="3">
        <f>136+21</f>
        <v>157</v>
      </c>
      <c r="F17" s="3">
        <f>2573+1</f>
        <v>2574</v>
      </c>
      <c r="G17" s="3">
        <f>2897+781</f>
        <v>3678</v>
      </c>
      <c r="H17" s="3">
        <f>1646+2399</f>
        <v>4045</v>
      </c>
      <c r="I17" s="3">
        <f>1241+82</f>
        <v>1323</v>
      </c>
      <c r="J17" s="3">
        <v>1697</v>
      </c>
      <c r="K17" s="14">
        <v>8666</v>
      </c>
    </row>
    <row r="18" spans="1:11" ht="12.75" customHeight="1">
      <c r="A18" s="16" t="s">
        <v>42</v>
      </c>
      <c r="B18" s="3">
        <v>6966</v>
      </c>
      <c r="C18" s="3">
        <v>421925</v>
      </c>
      <c r="D18" s="3">
        <v>25426</v>
      </c>
      <c r="E18" s="3">
        <v>2064</v>
      </c>
      <c r="F18" s="3">
        <v>24161</v>
      </c>
      <c r="G18" s="3">
        <v>22966</v>
      </c>
      <c r="H18" s="3">
        <v>3434</v>
      </c>
      <c r="I18" s="3">
        <v>633</v>
      </c>
      <c r="J18" s="3">
        <v>74275</v>
      </c>
      <c r="K18" s="14">
        <v>15677</v>
      </c>
    </row>
    <row r="19" spans="1:11" ht="12.75" customHeight="1">
      <c r="A19" s="13"/>
      <c r="B19" s="3"/>
      <c r="C19" s="3"/>
      <c r="D19" s="3"/>
      <c r="E19" s="3"/>
      <c r="F19" s="3"/>
      <c r="G19" s="4"/>
      <c r="H19" s="4"/>
      <c r="I19" s="4"/>
      <c r="J19" s="4"/>
      <c r="K19" s="15"/>
    </row>
    <row r="20" spans="1:11" ht="12.75" customHeight="1">
      <c r="A20" s="11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37006</v>
      </c>
      <c r="G20" s="4">
        <v>0</v>
      </c>
      <c r="H20" s="4">
        <v>0</v>
      </c>
      <c r="I20" s="4">
        <v>0</v>
      </c>
      <c r="J20" s="4">
        <v>0</v>
      </c>
      <c r="K20" s="15">
        <v>0</v>
      </c>
    </row>
    <row r="21" spans="1:11" ht="12.75" customHeight="1">
      <c r="A21" s="17"/>
      <c r="B21" s="3"/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1" t="s">
        <v>21</v>
      </c>
      <c r="B22" s="4">
        <f>SUM(B24+B31+B36+B41)</f>
        <v>3396943</v>
      </c>
      <c r="C22" s="4">
        <f aca="true" t="shared" si="2" ref="C22:K22">SUM(C24+C31+C36+C41)</f>
        <v>2069559</v>
      </c>
      <c r="D22" s="4">
        <f>SUM(D24+D31+D36+D41)</f>
        <v>214637</v>
      </c>
      <c r="E22" s="4">
        <f t="shared" si="2"/>
        <v>86872</v>
      </c>
      <c r="F22" s="4">
        <f t="shared" si="2"/>
        <v>248003</v>
      </c>
      <c r="G22" s="4">
        <f t="shared" si="2"/>
        <v>358022</v>
      </c>
      <c r="H22" s="4">
        <f t="shared" si="2"/>
        <v>230444</v>
      </c>
      <c r="I22" s="4">
        <f t="shared" si="2"/>
        <v>20976</v>
      </c>
      <c r="J22" s="4">
        <f t="shared" si="2"/>
        <v>406616</v>
      </c>
      <c r="K22" s="15">
        <f t="shared" si="2"/>
        <v>406591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16</v>
      </c>
      <c r="B24" s="4">
        <f aca="true" t="shared" si="3" ref="B24:K24">SUM(B25:B29)</f>
        <v>2438791</v>
      </c>
      <c r="C24" s="4">
        <f t="shared" si="3"/>
        <v>589562</v>
      </c>
      <c r="D24" s="4">
        <f t="shared" si="3"/>
        <v>21884</v>
      </c>
      <c r="E24" s="4">
        <f t="shared" si="3"/>
        <v>12948</v>
      </c>
      <c r="F24" s="4">
        <f t="shared" si="3"/>
        <v>0</v>
      </c>
      <c r="G24" s="4">
        <f t="shared" si="3"/>
        <v>72204</v>
      </c>
      <c r="H24" s="4">
        <f t="shared" si="3"/>
        <v>173006</v>
      </c>
      <c r="I24" s="4">
        <f t="shared" si="3"/>
        <v>3190</v>
      </c>
      <c r="J24" s="4">
        <f t="shared" si="3"/>
        <v>211626</v>
      </c>
      <c r="K24" s="15">
        <f t="shared" si="3"/>
        <v>221625</v>
      </c>
    </row>
    <row r="25" spans="1:11" ht="12.75" customHeight="1">
      <c r="A25" s="13" t="s">
        <v>22</v>
      </c>
      <c r="B25" s="3">
        <v>408000</v>
      </c>
      <c r="C25" s="3">
        <v>225194</v>
      </c>
      <c r="D25" s="3">
        <v>22895</v>
      </c>
      <c r="E25" s="3">
        <v>9380</v>
      </c>
      <c r="F25" s="3">
        <v>43</v>
      </c>
      <c r="G25" s="3">
        <v>124071</v>
      </c>
      <c r="H25" s="3">
        <v>263</v>
      </c>
      <c r="I25" s="3">
        <v>289</v>
      </c>
      <c r="J25" s="3">
        <v>118694</v>
      </c>
      <c r="K25" s="14">
        <v>77182</v>
      </c>
    </row>
    <row r="26" spans="1:11" ht="12.75" customHeight="1">
      <c r="A26" s="13" t="s">
        <v>23</v>
      </c>
      <c r="B26" s="3">
        <f>33899+4257+31697</f>
        <v>69853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4">
        <v>130</v>
      </c>
    </row>
    <row r="27" spans="1:11" ht="12.75" customHeight="1">
      <c r="A27" s="13" t="s">
        <v>24</v>
      </c>
      <c r="B27" s="3">
        <v>1870728</v>
      </c>
      <c r="C27" s="3">
        <v>364368</v>
      </c>
      <c r="D27" s="3">
        <v>12100</v>
      </c>
      <c r="E27" s="3">
        <v>3568</v>
      </c>
      <c r="F27" s="3">
        <v>276</v>
      </c>
      <c r="G27" s="3">
        <v>3042</v>
      </c>
      <c r="H27" s="3">
        <v>172339</v>
      </c>
      <c r="I27" s="3">
        <v>2893</v>
      </c>
      <c r="J27" s="3">
        <v>92932</v>
      </c>
      <c r="K27" s="14">
        <v>12606</v>
      </c>
    </row>
    <row r="28" spans="1:11" ht="12.75" customHeight="1">
      <c r="A28" s="13" t="s">
        <v>32</v>
      </c>
      <c r="B28" s="3">
        <v>90210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404</v>
      </c>
      <c r="I28" s="3">
        <v>8</v>
      </c>
      <c r="J28" s="3">
        <v>0</v>
      </c>
      <c r="K28" s="14">
        <v>144177</v>
      </c>
    </row>
    <row r="29" spans="1:11" ht="12.75" customHeight="1">
      <c r="A29" s="13" t="s">
        <v>25</v>
      </c>
      <c r="B29" s="3">
        <v>0</v>
      </c>
      <c r="C29" s="3">
        <v>0</v>
      </c>
      <c r="D29" s="24">
        <v>-13111</v>
      </c>
      <c r="E29" s="24">
        <v>0</v>
      </c>
      <c r="F29" s="24">
        <v>-319</v>
      </c>
      <c r="G29" s="24">
        <v>-54909</v>
      </c>
      <c r="H29" s="3">
        <v>0</v>
      </c>
      <c r="I29" s="3">
        <v>0</v>
      </c>
      <c r="J29" s="3">
        <v>0</v>
      </c>
      <c r="K29" s="35">
        <v>-12470</v>
      </c>
    </row>
    <row r="30" spans="1:11" ht="12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14"/>
    </row>
    <row r="31" spans="1:11" ht="12.75" customHeight="1">
      <c r="A31" s="11" t="s">
        <v>17</v>
      </c>
      <c r="B31" s="4">
        <f aca="true" t="shared" si="4" ref="B31:K31">SUM(B32:B34)</f>
        <v>638009</v>
      </c>
      <c r="C31" s="4">
        <f t="shared" si="4"/>
        <v>453155</v>
      </c>
      <c r="D31" s="4">
        <f t="shared" si="4"/>
        <v>98477</v>
      </c>
      <c r="E31" s="4">
        <f t="shared" si="4"/>
        <v>2906</v>
      </c>
      <c r="F31" s="4">
        <f t="shared" si="4"/>
        <v>145269</v>
      </c>
      <c r="G31" s="4">
        <f t="shared" si="4"/>
        <v>62309</v>
      </c>
      <c r="H31" s="4">
        <f t="shared" si="4"/>
        <v>22563</v>
      </c>
      <c r="I31" s="4">
        <f t="shared" si="4"/>
        <v>0</v>
      </c>
      <c r="J31" s="4">
        <f t="shared" si="4"/>
        <v>16406</v>
      </c>
      <c r="K31" s="15">
        <f t="shared" si="4"/>
        <v>75314</v>
      </c>
    </row>
    <row r="32" spans="1:11" ht="12.75" customHeight="1">
      <c r="A32" s="18" t="s">
        <v>26</v>
      </c>
      <c r="B32" s="3">
        <v>42381</v>
      </c>
      <c r="C32" s="3">
        <v>37460</v>
      </c>
      <c r="D32" s="3">
        <v>662</v>
      </c>
      <c r="E32" s="3">
        <v>2906</v>
      </c>
      <c r="F32" s="3">
        <v>10284</v>
      </c>
      <c r="G32" s="3">
        <v>9397</v>
      </c>
      <c r="H32" s="3">
        <v>1161</v>
      </c>
      <c r="I32" s="3">
        <v>0</v>
      </c>
      <c r="J32" s="3">
        <v>11030</v>
      </c>
      <c r="K32" s="14">
        <v>11960</v>
      </c>
    </row>
    <row r="33" spans="1:11" ht="12.75" customHeight="1">
      <c r="A33" s="19" t="s">
        <v>27</v>
      </c>
      <c r="B33" s="3">
        <v>595628</v>
      </c>
      <c r="C33" s="3">
        <v>0</v>
      </c>
      <c r="D33" s="3">
        <v>47135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14">
        <v>0</v>
      </c>
    </row>
    <row r="34" spans="1:11" ht="12.75" customHeight="1">
      <c r="A34" s="18" t="s">
        <v>35</v>
      </c>
      <c r="B34" s="3">
        <v>0</v>
      </c>
      <c r="C34" s="3">
        <v>415695</v>
      </c>
      <c r="D34" s="3">
        <v>50680</v>
      </c>
      <c r="E34" s="3">
        <v>0</v>
      </c>
      <c r="F34" s="3">
        <v>134985</v>
      </c>
      <c r="G34" s="3">
        <v>52912</v>
      </c>
      <c r="H34" s="3">
        <v>21402</v>
      </c>
      <c r="I34" s="3">
        <v>0</v>
      </c>
      <c r="J34" s="3">
        <v>5376</v>
      </c>
      <c r="K34" s="14">
        <v>63354</v>
      </c>
    </row>
    <row r="35" spans="1:11" ht="12.75" customHeight="1">
      <c r="A35" s="17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28</v>
      </c>
      <c r="B36" s="4">
        <f>SUM(B37:B39)</f>
        <v>282273</v>
      </c>
      <c r="C36" s="4">
        <f aca="true" t="shared" si="5" ref="C36:K36">SUM(C37:C39)</f>
        <v>1025659</v>
      </c>
      <c r="D36" s="4">
        <f>SUM(D37:D39)</f>
        <v>93112</v>
      </c>
      <c r="E36" s="4">
        <f t="shared" si="5"/>
        <v>70930</v>
      </c>
      <c r="F36" s="4">
        <f t="shared" si="5"/>
        <v>101349</v>
      </c>
      <c r="G36" s="4">
        <f t="shared" si="5"/>
        <v>223367</v>
      </c>
      <c r="H36" s="4">
        <f t="shared" si="5"/>
        <v>34813</v>
      </c>
      <c r="I36" s="4">
        <f t="shared" si="5"/>
        <v>17786</v>
      </c>
      <c r="J36" s="4">
        <f t="shared" si="5"/>
        <v>176859</v>
      </c>
      <c r="K36" s="15">
        <f t="shared" si="5"/>
        <v>104559</v>
      </c>
    </row>
    <row r="37" spans="1:11" ht="12.75" customHeight="1">
      <c r="A37" s="13" t="s">
        <v>33</v>
      </c>
      <c r="B37" s="3">
        <v>229297</v>
      </c>
      <c r="C37" s="3">
        <v>449045</v>
      </c>
      <c r="D37" s="3">
        <v>38595</v>
      </c>
      <c r="E37" s="3">
        <v>0</v>
      </c>
      <c r="F37" s="3">
        <v>43416</v>
      </c>
      <c r="G37" s="3">
        <v>17374</v>
      </c>
      <c r="H37" s="3">
        <v>23255</v>
      </c>
      <c r="I37" s="3">
        <v>11256</v>
      </c>
      <c r="J37" s="3">
        <v>34720</v>
      </c>
      <c r="K37" s="14">
        <v>22946</v>
      </c>
    </row>
    <row r="38" spans="1:11" ht="12.75" customHeight="1">
      <c r="A38" s="13" t="s">
        <v>29</v>
      </c>
      <c r="B38" s="3">
        <v>23030</v>
      </c>
      <c r="C38" s="3">
        <v>534327</v>
      </c>
      <c r="D38" s="3">
        <v>51926</v>
      </c>
      <c r="E38" s="3">
        <v>66705</v>
      </c>
      <c r="F38" s="3">
        <v>54084</v>
      </c>
      <c r="G38" s="3">
        <v>178699</v>
      </c>
      <c r="H38" s="3">
        <v>7480</v>
      </c>
      <c r="I38" s="3">
        <v>5697</v>
      </c>
      <c r="J38" s="3">
        <v>136006</v>
      </c>
      <c r="K38" s="14">
        <v>72682</v>
      </c>
    </row>
    <row r="39" spans="1:11" ht="12.75" customHeight="1">
      <c r="A39" s="13" t="s">
        <v>30</v>
      </c>
      <c r="B39" s="3">
        <f>22382+6665+899</f>
        <v>29946</v>
      </c>
      <c r="C39" s="3">
        <f>40328+1959</f>
        <v>42287</v>
      </c>
      <c r="D39" s="3">
        <f>2569+22</f>
        <v>2591</v>
      </c>
      <c r="E39" s="3">
        <f>3512+713</f>
        <v>4225</v>
      </c>
      <c r="F39" s="3">
        <v>3849</v>
      </c>
      <c r="G39" s="3">
        <f>8144+19150</f>
        <v>27294</v>
      </c>
      <c r="H39" s="3">
        <f>1814+2264</f>
        <v>4078</v>
      </c>
      <c r="I39" s="3">
        <v>833</v>
      </c>
      <c r="J39" s="3">
        <f>4507+641+985</f>
        <v>6133</v>
      </c>
      <c r="K39" s="14">
        <f>5385+3546</f>
        <v>8931</v>
      </c>
    </row>
    <row r="40" spans="1:11" ht="12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14"/>
    </row>
    <row r="41" spans="1:11" ht="12.75" customHeight="1" thickBot="1">
      <c r="A41" s="20" t="s">
        <v>31</v>
      </c>
      <c r="B41" s="21">
        <v>37870</v>
      </c>
      <c r="C41" s="21">
        <v>1183</v>
      </c>
      <c r="D41" s="21">
        <v>1164</v>
      </c>
      <c r="E41" s="21">
        <v>88</v>
      </c>
      <c r="F41" s="21">
        <v>1385</v>
      </c>
      <c r="G41" s="21">
        <v>142</v>
      </c>
      <c r="H41" s="21">
        <v>62</v>
      </c>
      <c r="I41" s="21">
        <v>0</v>
      </c>
      <c r="J41" s="21">
        <v>1725</v>
      </c>
      <c r="K41" s="22">
        <v>5093</v>
      </c>
    </row>
    <row r="42" spans="1:9" ht="16.5" customHeight="1">
      <c r="A42" s="82" t="s">
        <v>111</v>
      </c>
      <c r="B42" s="82"/>
      <c r="C42" s="82"/>
      <c r="D42" s="82"/>
      <c r="E42" s="82"/>
      <c r="F42" s="82"/>
      <c r="G42" s="82"/>
      <c r="H42" s="82"/>
      <c r="I42" s="75"/>
    </row>
    <row r="43" spans="1:5" ht="15.75" thickBot="1">
      <c r="A43" s="1"/>
      <c r="B43" s="1"/>
      <c r="C43" s="40"/>
      <c r="D43" s="2" t="s">
        <v>13</v>
      </c>
      <c r="E43" s="2"/>
    </row>
    <row r="44" spans="1:5" ht="21">
      <c r="A44" s="10"/>
      <c r="B44" s="63" t="s">
        <v>10</v>
      </c>
      <c r="C44" s="61" t="s">
        <v>11</v>
      </c>
      <c r="D44" s="62" t="s">
        <v>12</v>
      </c>
      <c r="E44" s="6"/>
    </row>
    <row r="45" spans="1:5" ht="12.75" customHeight="1">
      <c r="A45" s="11" t="s">
        <v>20</v>
      </c>
      <c r="B45" s="5">
        <f>SUM(B47+B51+B58)</f>
        <v>2301427</v>
      </c>
      <c r="C45" s="5">
        <f>SUM(C47+C51+C58)</f>
        <v>862097</v>
      </c>
      <c r="D45" s="12">
        <f>SUM(D47+D51+D58)</f>
        <v>820070</v>
      </c>
      <c r="E45" s="7"/>
    </row>
    <row r="46" spans="1:5" ht="12.75" customHeight="1">
      <c r="A46" s="13"/>
      <c r="B46" s="3"/>
      <c r="C46" s="3"/>
      <c r="D46" s="14"/>
      <c r="E46" s="8"/>
    </row>
    <row r="47" spans="1:5" ht="12.75" customHeight="1">
      <c r="A47" s="11" t="s">
        <v>14</v>
      </c>
      <c r="B47" s="4">
        <f>SUM(B48:B49)</f>
        <v>34278</v>
      </c>
      <c r="C47" s="4">
        <f>SUM(C48:C49)</f>
        <v>23410</v>
      </c>
      <c r="D47" s="15">
        <f>SUM(D48:D49)</f>
        <v>11324</v>
      </c>
      <c r="E47" s="8"/>
    </row>
    <row r="48" spans="1:5" ht="12.75" customHeight="1">
      <c r="A48" s="13" t="s">
        <v>18</v>
      </c>
      <c r="B48" s="3">
        <v>34278</v>
      </c>
      <c r="C48" s="3">
        <v>23410</v>
      </c>
      <c r="D48" s="14">
        <v>11324</v>
      </c>
      <c r="E48" s="8"/>
    </row>
    <row r="49" spans="1:5" ht="12.75" customHeight="1">
      <c r="A49" s="13" t="s">
        <v>19</v>
      </c>
      <c r="B49" s="3">
        <v>0</v>
      </c>
      <c r="C49" s="3">
        <v>0</v>
      </c>
      <c r="D49" s="14">
        <v>0</v>
      </c>
      <c r="E49" s="8"/>
    </row>
    <row r="50" spans="1:5" ht="12.75" customHeight="1">
      <c r="A50" s="13"/>
      <c r="B50" s="3"/>
      <c r="C50" s="3"/>
      <c r="D50" s="14"/>
      <c r="E50" s="8"/>
    </row>
    <row r="51" spans="1:5" ht="12.75" customHeight="1">
      <c r="A51" s="11" t="s">
        <v>15</v>
      </c>
      <c r="B51" s="4">
        <f>SUM(B52:B56)</f>
        <v>2267149</v>
      </c>
      <c r="C51" s="4">
        <f>SUM(C52:C56)</f>
        <v>838687</v>
      </c>
      <c r="D51" s="15">
        <f>SUM(D52:D56)</f>
        <v>808746</v>
      </c>
      <c r="E51" s="8"/>
    </row>
    <row r="52" spans="1:5" ht="12.75" customHeight="1">
      <c r="A52" s="13" t="s">
        <v>40</v>
      </c>
      <c r="B52" s="3">
        <v>404400</v>
      </c>
      <c r="C52" s="3">
        <v>213740</v>
      </c>
      <c r="D52" s="14">
        <v>98973</v>
      </c>
      <c r="E52" s="8"/>
    </row>
    <row r="53" spans="1:5" ht="12.75" customHeight="1">
      <c r="A53" s="13" t="s">
        <v>37</v>
      </c>
      <c r="B53" s="3">
        <f>27498+1468600+141122</f>
        <v>1637220</v>
      </c>
      <c r="C53" s="3">
        <v>425494</v>
      </c>
      <c r="D53" s="14">
        <v>664485</v>
      </c>
      <c r="E53" s="8"/>
    </row>
    <row r="54" spans="1:5" ht="12.75" customHeight="1">
      <c r="A54" s="13" t="s">
        <v>39</v>
      </c>
      <c r="B54" s="3">
        <v>0</v>
      </c>
      <c r="C54" s="3">
        <v>169288</v>
      </c>
      <c r="D54" s="14">
        <v>0</v>
      </c>
      <c r="E54" s="9"/>
    </row>
    <row r="55" spans="1:5" ht="12.75" customHeight="1">
      <c r="A55" s="13" t="s">
        <v>41</v>
      </c>
      <c r="B55" s="3">
        <f>54187+132+74533</f>
        <v>128852</v>
      </c>
      <c r="C55" s="3">
        <v>0</v>
      </c>
      <c r="D55" s="14">
        <v>3436</v>
      </c>
      <c r="E55" s="8"/>
    </row>
    <row r="56" spans="1:5" ht="12.75" customHeight="1">
      <c r="A56" s="16" t="s">
        <v>42</v>
      </c>
      <c r="B56" s="3">
        <v>96677</v>
      </c>
      <c r="C56" s="3">
        <v>30165</v>
      </c>
      <c r="D56" s="14">
        <v>41852</v>
      </c>
      <c r="E56" s="8"/>
    </row>
    <row r="57" spans="1:5" ht="12.75" customHeight="1">
      <c r="A57" s="13"/>
      <c r="B57" s="3"/>
      <c r="C57" s="3"/>
      <c r="D57" s="14"/>
      <c r="E57" s="8"/>
    </row>
    <row r="58" spans="1:5" ht="12.75" customHeight="1">
      <c r="A58" s="11" t="s">
        <v>34</v>
      </c>
      <c r="B58" s="4">
        <v>0</v>
      </c>
      <c r="C58" s="4">
        <v>0</v>
      </c>
      <c r="D58" s="15">
        <v>0</v>
      </c>
      <c r="E58" s="8"/>
    </row>
    <row r="59" spans="1:5" ht="12.75" customHeight="1">
      <c r="A59" s="17"/>
      <c r="B59" s="3"/>
      <c r="C59" s="3"/>
      <c r="D59" s="14"/>
      <c r="E59" s="8"/>
    </row>
    <row r="60" spans="1:5" ht="12.75" customHeight="1">
      <c r="A60" s="11" t="s">
        <v>21</v>
      </c>
      <c r="B60" s="4">
        <f>SUM(B62+B69+B73+B78)</f>
        <v>2301427</v>
      </c>
      <c r="C60" s="4">
        <f>SUM(C62+C69+C73+C78)</f>
        <v>862097</v>
      </c>
      <c r="D60" s="15">
        <f>SUM(D62+D69+D73+D78)</f>
        <v>820070</v>
      </c>
      <c r="E60" s="8"/>
    </row>
    <row r="61" spans="1:5" ht="12.75" customHeight="1">
      <c r="A61" s="13"/>
      <c r="B61" s="3"/>
      <c r="C61" s="3"/>
      <c r="D61" s="14"/>
      <c r="E61" s="8"/>
    </row>
    <row r="62" spans="1:5" ht="12.75" customHeight="1">
      <c r="A62" s="11" t="s">
        <v>16</v>
      </c>
      <c r="B62" s="4">
        <f>SUM(B63:B67)</f>
        <v>120985</v>
      </c>
      <c r="C62" s="4">
        <f>SUM(C63:C67)</f>
        <v>147555</v>
      </c>
      <c r="D62" s="15">
        <f>SUM(D63:D67)</f>
        <v>30870</v>
      </c>
      <c r="E62" s="8"/>
    </row>
    <row r="63" spans="1:5" ht="12.75" customHeight="1">
      <c r="A63" s="13" t="s">
        <v>22</v>
      </c>
      <c r="B63" s="3">
        <v>230</v>
      </c>
      <c r="C63" s="3">
        <v>17000</v>
      </c>
      <c r="D63" s="14">
        <v>34218</v>
      </c>
      <c r="E63" s="8"/>
    </row>
    <row r="64" spans="1:5" ht="12.75" customHeight="1">
      <c r="A64" s="13" t="s">
        <v>23</v>
      </c>
      <c r="B64" s="3">
        <v>0</v>
      </c>
      <c r="C64" s="3">
        <v>0</v>
      </c>
      <c r="D64" s="14">
        <v>0</v>
      </c>
      <c r="E64" s="8"/>
    </row>
    <row r="65" spans="1:5" ht="12.75" customHeight="1">
      <c r="A65" s="13" t="s">
        <v>24</v>
      </c>
      <c r="B65" s="3">
        <v>120755</v>
      </c>
      <c r="C65" s="3">
        <v>130555</v>
      </c>
      <c r="D65" s="14">
        <v>886</v>
      </c>
      <c r="E65" s="8"/>
    </row>
    <row r="66" spans="1:5" ht="12.75" customHeight="1">
      <c r="A66" s="13" t="s">
        <v>32</v>
      </c>
      <c r="B66" s="3">
        <v>0</v>
      </c>
      <c r="C66" s="3">
        <v>0</v>
      </c>
      <c r="D66" s="14">
        <v>0</v>
      </c>
      <c r="E66" s="9"/>
    </row>
    <row r="67" spans="1:5" ht="12.75" customHeight="1">
      <c r="A67" s="13" t="s">
        <v>25</v>
      </c>
      <c r="B67" s="24">
        <v>0</v>
      </c>
      <c r="C67" s="3">
        <v>0</v>
      </c>
      <c r="D67" s="35">
        <v>-4234</v>
      </c>
      <c r="E67" s="8"/>
    </row>
    <row r="68" spans="1:5" ht="12.75" customHeight="1">
      <c r="A68" s="13"/>
      <c r="B68" s="3"/>
      <c r="C68" s="3"/>
      <c r="D68" s="14"/>
      <c r="E68" s="8"/>
    </row>
    <row r="69" spans="1:7" ht="12.75" customHeight="1">
      <c r="A69" s="11" t="s">
        <v>17</v>
      </c>
      <c r="B69" s="4">
        <f>SUM(B70:B71)</f>
        <v>0</v>
      </c>
      <c r="C69" s="4">
        <f>SUM(C70:C71)</f>
        <v>0</v>
      </c>
      <c r="D69" s="15">
        <f>SUM(D70:D71)</f>
        <v>2406</v>
      </c>
      <c r="E69" s="8"/>
      <c r="G69" s="43"/>
    </row>
    <row r="70" spans="1:5" ht="12.75" customHeight="1">
      <c r="A70" s="18" t="s">
        <v>26</v>
      </c>
      <c r="B70" s="3">
        <v>0</v>
      </c>
      <c r="C70" s="3">
        <v>0</v>
      </c>
      <c r="D70" s="14">
        <v>0</v>
      </c>
      <c r="E70" s="8"/>
    </row>
    <row r="71" spans="1:5" ht="12.75" customHeight="1">
      <c r="A71" s="19" t="s">
        <v>27</v>
      </c>
      <c r="B71" s="3">
        <v>0</v>
      </c>
      <c r="C71" s="3">
        <v>0</v>
      </c>
      <c r="D71" s="14">
        <v>2406</v>
      </c>
      <c r="E71" s="8"/>
    </row>
    <row r="72" spans="1:5" ht="12.75" customHeight="1">
      <c r="A72" s="17"/>
      <c r="B72" s="3"/>
      <c r="C72" s="3"/>
      <c r="D72" s="14"/>
      <c r="E72" s="9"/>
    </row>
    <row r="73" spans="1:5" ht="12.75" customHeight="1">
      <c r="A73" s="11" t="s">
        <v>28</v>
      </c>
      <c r="B73" s="4">
        <f>SUM(B74:B76)</f>
        <v>2180442</v>
      </c>
      <c r="C73" s="4">
        <f>SUM(C74:C76)</f>
        <v>714542</v>
      </c>
      <c r="D73" s="15">
        <f>SUM(D74:D76)</f>
        <v>786794</v>
      </c>
      <c r="E73" s="8"/>
    </row>
    <row r="74" spans="1:5" ht="12.75" customHeight="1">
      <c r="A74" s="13" t="s">
        <v>33</v>
      </c>
      <c r="B74" s="3">
        <v>0</v>
      </c>
      <c r="C74" s="3">
        <v>0</v>
      </c>
      <c r="D74" s="14">
        <v>3365</v>
      </c>
      <c r="E74" s="9"/>
    </row>
    <row r="75" spans="1:5" ht="12.75" customHeight="1">
      <c r="A75" s="13" t="s">
        <v>29</v>
      </c>
      <c r="B75" s="3">
        <f>1993784+23884</f>
        <v>2017668</v>
      </c>
      <c r="C75" s="3">
        <v>705152</v>
      </c>
      <c r="D75" s="14">
        <v>783429</v>
      </c>
      <c r="E75" s="8"/>
    </row>
    <row r="76" spans="1:5" ht="12.75" customHeight="1">
      <c r="A76" s="13" t="s">
        <v>30</v>
      </c>
      <c r="B76" s="3">
        <f>11530+41251+109993</f>
        <v>162774</v>
      </c>
      <c r="C76" s="3">
        <v>9390</v>
      </c>
      <c r="D76" s="14">
        <v>0</v>
      </c>
      <c r="E76" s="9"/>
    </row>
    <row r="77" spans="1:5" ht="12.75" customHeight="1">
      <c r="A77" s="13"/>
      <c r="B77" s="3"/>
      <c r="C77" s="3"/>
      <c r="D77" s="14"/>
      <c r="E77" s="9"/>
    </row>
    <row r="78" spans="1:5" ht="12.75" customHeight="1" thickBot="1">
      <c r="A78" s="20" t="s">
        <v>31</v>
      </c>
      <c r="B78" s="21">
        <v>0</v>
      </c>
      <c r="C78" s="21">
        <v>0</v>
      </c>
      <c r="D78" s="22">
        <v>0</v>
      </c>
      <c r="E78" s="9"/>
    </row>
  </sheetData>
  <mergeCells count="3">
    <mergeCell ref="A1:H1"/>
    <mergeCell ref="A2:H2"/>
    <mergeCell ref="A42:H42"/>
  </mergeCells>
  <printOptions/>
  <pageMargins left="0.34" right="0.32" top="0.4" bottom="0.39" header="0.18" footer="0.22"/>
  <pageSetup horizontalDpi="600" verticalDpi="600" orientation="landscape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E29">
      <selection activeCell="K29" sqref="K29:K41"/>
    </sheetView>
  </sheetViews>
  <sheetFormatPr defaultColWidth="9.140625" defaultRowHeight="12.75"/>
  <cols>
    <col min="1" max="1" width="37.7109375" style="39" customWidth="1"/>
    <col min="2" max="2" width="11.421875" style="39" customWidth="1"/>
    <col min="3" max="9" width="10.71093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11" ht="14.25" customHeight="1">
      <c r="A1" s="82" t="s">
        <v>114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6.5" customHeight="1" thickBot="1">
      <c r="A2" s="1"/>
      <c r="B2" s="1"/>
      <c r="C2" s="40"/>
      <c r="D2" s="2"/>
      <c r="E2" s="41"/>
      <c r="F2" s="41"/>
      <c r="G2" s="41"/>
      <c r="H2" s="41"/>
      <c r="I2" s="41"/>
      <c r="K2" s="44" t="s">
        <v>0</v>
      </c>
    </row>
    <row r="3" spans="1:11" ht="16.5" customHeight="1">
      <c r="A3" s="10"/>
      <c r="B3" s="60" t="s">
        <v>1</v>
      </c>
      <c r="C3" s="61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1" t="s">
        <v>7</v>
      </c>
      <c r="I3" s="61" t="s">
        <v>118</v>
      </c>
      <c r="J3" s="61" t="s">
        <v>8</v>
      </c>
      <c r="K3" s="62" t="s">
        <v>9</v>
      </c>
    </row>
    <row r="4" spans="1:11" ht="12.75" customHeight="1">
      <c r="A4" s="11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 customHeight="1">
      <c r="A5" s="13" t="s">
        <v>66</v>
      </c>
      <c r="B5" s="3">
        <v>573057</v>
      </c>
      <c r="C5" s="3">
        <v>2134645</v>
      </c>
      <c r="D5" s="3">
        <v>200812</v>
      </c>
      <c r="E5" s="3">
        <v>234139</v>
      </c>
      <c r="F5" s="3">
        <v>289645</v>
      </c>
      <c r="G5" s="3">
        <v>893016</v>
      </c>
      <c r="H5" s="3">
        <v>302629</v>
      </c>
      <c r="I5" s="3">
        <v>11785</v>
      </c>
      <c r="J5" s="3">
        <v>600499</v>
      </c>
      <c r="K5" s="14">
        <v>589323</v>
      </c>
    </row>
    <row r="6" spans="1:11" ht="12.75" customHeight="1">
      <c r="A6" s="13" t="s">
        <v>67</v>
      </c>
      <c r="B6" s="3"/>
      <c r="C6" s="3"/>
      <c r="D6" s="3"/>
      <c r="E6" s="3"/>
      <c r="F6" s="3"/>
      <c r="G6" s="3"/>
      <c r="H6" s="3">
        <v>587</v>
      </c>
      <c r="I6" s="3"/>
      <c r="J6" s="3">
        <v>4306</v>
      </c>
      <c r="K6" s="14">
        <v>150</v>
      </c>
    </row>
    <row r="7" spans="1:11" ht="12.75" customHeight="1">
      <c r="A7" s="13" t="s">
        <v>68</v>
      </c>
      <c r="B7" s="3">
        <v>2525</v>
      </c>
      <c r="C7" s="3">
        <v>71227</v>
      </c>
      <c r="D7" s="3">
        <v>4788</v>
      </c>
      <c r="E7" s="3">
        <v>49</v>
      </c>
      <c r="F7" s="3">
        <v>13854</v>
      </c>
      <c r="G7" s="3">
        <v>651</v>
      </c>
      <c r="H7" s="3">
        <v>479</v>
      </c>
      <c r="I7" s="3"/>
      <c r="J7" s="3">
        <v>23889</v>
      </c>
      <c r="K7" s="14">
        <v>44705</v>
      </c>
    </row>
    <row r="8" spans="1:11" ht="12.75" customHeight="1">
      <c r="A8" s="13" t="s">
        <v>69</v>
      </c>
      <c r="B8" s="24">
        <v>-301649</v>
      </c>
      <c r="C8" s="24">
        <v>-1268157</v>
      </c>
      <c r="D8" s="24">
        <v>-128110</v>
      </c>
      <c r="E8" s="24">
        <v>-172939</v>
      </c>
      <c r="F8" s="24">
        <v>-269661</v>
      </c>
      <c r="G8" s="24">
        <v>-762965</v>
      </c>
      <c r="H8" s="24">
        <v>-203493</v>
      </c>
      <c r="I8" s="24">
        <v>-12339</v>
      </c>
      <c r="J8" s="24">
        <v>-526500</v>
      </c>
      <c r="K8" s="35">
        <v>-541384</v>
      </c>
    </row>
    <row r="9" spans="1:11" ht="12.75" customHeight="1">
      <c r="A9" s="13" t="s">
        <v>70</v>
      </c>
      <c r="B9" s="24">
        <v>-119383</v>
      </c>
      <c r="C9" s="24">
        <v>-343314</v>
      </c>
      <c r="D9" s="24">
        <v>-20975</v>
      </c>
      <c r="E9" s="24">
        <v>-31941</v>
      </c>
      <c r="F9" s="24">
        <v>-32316</v>
      </c>
      <c r="G9" s="24">
        <v>-76037</v>
      </c>
      <c r="H9" s="24">
        <v>-13681</v>
      </c>
      <c r="I9" s="24">
        <v>-7979</v>
      </c>
      <c r="J9" s="24">
        <v>-44672</v>
      </c>
      <c r="K9" s="35">
        <v>-60910</v>
      </c>
    </row>
    <row r="10" spans="1:11" ht="12.75" customHeight="1">
      <c r="A10" s="13" t="s">
        <v>71</v>
      </c>
      <c r="B10" s="24">
        <v>-37939</v>
      </c>
      <c r="C10" s="24">
        <v>-45268</v>
      </c>
      <c r="D10" s="24">
        <v>-6785</v>
      </c>
      <c r="E10" s="24">
        <v>-1105</v>
      </c>
      <c r="F10" s="24">
        <v>-6505</v>
      </c>
      <c r="G10" s="24">
        <v>-4414</v>
      </c>
      <c r="H10" s="24">
        <v>-3543</v>
      </c>
      <c r="I10" s="24">
        <v>-45</v>
      </c>
      <c r="J10" s="24">
        <v>-572</v>
      </c>
      <c r="K10" s="35">
        <v>-4840</v>
      </c>
    </row>
    <row r="11" spans="1:11" ht="12.75" customHeight="1">
      <c r="A11" s="13" t="s">
        <v>72</v>
      </c>
      <c r="B11" s="24"/>
      <c r="C11" s="24">
        <v>-5538</v>
      </c>
      <c r="D11" s="24"/>
      <c r="E11" s="24">
        <v>-269</v>
      </c>
      <c r="F11" s="24"/>
      <c r="G11" s="24">
        <v>-819</v>
      </c>
      <c r="H11" s="24">
        <v>-9719</v>
      </c>
      <c r="I11" s="24"/>
      <c r="J11" s="24">
        <v>-1830</v>
      </c>
      <c r="K11" s="35"/>
    </row>
    <row r="12" spans="1:11" ht="12.75" customHeight="1">
      <c r="A12" s="13" t="s">
        <v>73</v>
      </c>
      <c r="B12" s="24">
        <v>-75714</v>
      </c>
      <c r="C12" s="24">
        <v>-15061</v>
      </c>
      <c r="D12" s="24">
        <v>-678</v>
      </c>
      <c r="E12" s="24">
        <v>-8476</v>
      </c>
      <c r="F12" s="24">
        <v>-113</v>
      </c>
      <c r="G12" s="24">
        <v>-29865</v>
      </c>
      <c r="H12" s="24">
        <v>-11682</v>
      </c>
      <c r="I12" s="24">
        <v>-1192</v>
      </c>
      <c r="J12" s="24">
        <v>-17929</v>
      </c>
      <c r="K12" s="35">
        <v>-19843</v>
      </c>
    </row>
    <row r="13" spans="1:11" ht="12.75" customHeight="1">
      <c r="A13" s="17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12.75" customHeight="1">
      <c r="A14" s="11" t="s">
        <v>74</v>
      </c>
      <c r="B14" s="4">
        <f aca="true" t="shared" si="0" ref="B14:K14">SUM(B4:B13)</f>
        <v>40897</v>
      </c>
      <c r="C14" s="4">
        <f t="shared" si="0"/>
        <v>528534</v>
      </c>
      <c r="D14" s="4">
        <f t="shared" si="0"/>
        <v>49052</v>
      </c>
      <c r="E14" s="4">
        <f t="shared" si="0"/>
        <v>19458</v>
      </c>
      <c r="F14" s="26">
        <f t="shared" si="0"/>
        <v>-5096</v>
      </c>
      <c r="G14" s="26">
        <f t="shared" si="0"/>
        <v>19567</v>
      </c>
      <c r="H14" s="4">
        <f t="shared" si="0"/>
        <v>61577</v>
      </c>
      <c r="I14" s="26">
        <f t="shared" si="0"/>
        <v>-9770</v>
      </c>
      <c r="J14" s="26">
        <f t="shared" si="0"/>
        <v>37191</v>
      </c>
      <c r="K14" s="30">
        <f t="shared" si="0"/>
        <v>7201</v>
      </c>
    </row>
    <row r="15" spans="1:11" ht="12.75" customHeight="1">
      <c r="A15" s="17"/>
      <c r="B15" s="3"/>
      <c r="C15" s="3"/>
      <c r="D15" s="3"/>
      <c r="E15" s="3"/>
      <c r="F15" s="3"/>
      <c r="G15" s="3"/>
      <c r="H15" s="3"/>
      <c r="I15" s="3"/>
      <c r="J15" s="3"/>
      <c r="K15" s="14"/>
    </row>
    <row r="16" spans="1:11" ht="12.75" customHeight="1">
      <c r="A16" s="11" t="s">
        <v>75</v>
      </c>
      <c r="B16" s="3"/>
      <c r="C16" s="3"/>
      <c r="D16" s="3"/>
      <c r="E16" s="3"/>
      <c r="F16" s="3"/>
      <c r="G16" s="3"/>
      <c r="H16" s="3"/>
      <c r="I16" s="3"/>
      <c r="J16" s="3"/>
      <c r="K16" s="14"/>
    </row>
    <row r="17" spans="1:11" ht="12.75" customHeight="1">
      <c r="A17" s="13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77</v>
      </c>
      <c r="B18" s="3"/>
      <c r="C18" s="3"/>
      <c r="D18" s="3"/>
      <c r="E18" s="3"/>
      <c r="F18" s="3"/>
      <c r="G18" s="3"/>
      <c r="H18" s="3"/>
      <c r="I18" s="3"/>
      <c r="J18" s="3">
        <v>82</v>
      </c>
      <c r="K18" s="14">
        <v>9</v>
      </c>
    </row>
    <row r="19" spans="1:11" ht="12.75" customHeight="1">
      <c r="A19" s="13" t="s">
        <v>78</v>
      </c>
      <c r="B19" s="3">
        <v>142370</v>
      </c>
      <c r="C19" s="3"/>
      <c r="D19" s="3"/>
      <c r="E19" s="3"/>
      <c r="F19" s="3"/>
      <c r="G19" s="3">
        <v>15000</v>
      </c>
      <c r="H19" s="3"/>
      <c r="I19" s="3">
        <v>11095</v>
      </c>
      <c r="J19" s="3"/>
      <c r="K19" s="14"/>
    </row>
    <row r="20" spans="1:11" ht="12.75" customHeight="1">
      <c r="A20" s="13" t="s">
        <v>79</v>
      </c>
      <c r="B20" s="3">
        <v>52440</v>
      </c>
      <c r="C20" s="3">
        <v>5120</v>
      </c>
      <c r="D20" s="3">
        <v>21</v>
      </c>
      <c r="E20" s="3">
        <v>283</v>
      </c>
      <c r="F20" s="3">
        <v>248</v>
      </c>
      <c r="G20" s="3">
        <v>175</v>
      </c>
      <c r="H20" s="3"/>
      <c r="I20" s="3"/>
      <c r="J20" s="3"/>
      <c r="K20" s="14"/>
    </row>
    <row r="21" spans="1:11" ht="12.75" customHeight="1">
      <c r="A21" s="13" t="s">
        <v>80</v>
      </c>
      <c r="B21" s="3">
        <v>160263</v>
      </c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3" t="s">
        <v>81</v>
      </c>
      <c r="B22" s="3"/>
      <c r="C22" s="3"/>
      <c r="D22" s="3"/>
      <c r="E22" s="3"/>
      <c r="F22" s="3"/>
      <c r="G22" s="3"/>
      <c r="H22" s="3"/>
      <c r="I22" s="3"/>
      <c r="J22" s="3"/>
      <c r="K22" s="14"/>
    </row>
    <row r="23" spans="1:11" ht="12.75" customHeight="1">
      <c r="A23" s="13" t="s">
        <v>82</v>
      </c>
      <c r="B23" s="24">
        <v>-48738</v>
      </c>
      <c r="C23" s="24">
        <v>-25198</v>
      </c>
      <c r="D23" s="24">
        <v>-2533</v>
      </c>
      <c r="E23" s="24">
        <v>-48</v>
      </c>
      <c r="F23" s="24">
        <v>-22290</v>
      </c>
      <c r="G23" s="24">
        <v>-403</v>
      </c>
      <c r="H23" s="24">
        <v>-503</v>
      </c>
      <c r="I23" s="24">
        <v>-728</v>
      </c>
      <c r="J23" s="24">
        <v>-6032</v>
      </c>
      <c r="K23" s="35">
        <v>-1765</v>
      </c>
    </row>
    <row r="24" spans="1:11" ht="12.75" customHeight="1">
      <c r="A24" s="13" t="s">
        <v>83</v>
      </c>
      <c r="B24" s="3"/>
      <c r="C24" s="24">
        <v>-3972</v>
      </c>
      <c r="D24" s="3"/>
      <c r="E24" s="3"/>
      <c r="F24" s="3"/>
      <c r="G24" s="3"/>
      <c r="H24" s="3"/>
      <c r="I24" s="24"/>
      <c r="J24" s="3"/>
      <c r="K24" s="35">
        <v>-636</v>
      </c>
    </row>
    <row r="25" spans="1:11" ht="12.75" customHeight="1">
      <c r="A25" s="17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11" t="s">
        <v>84</v>
      </c>
      <c r="B26" s="4">
        <f aca="true" t="shared" si="1" ref="B26:I26">SUM(B16:B25)</f>
        <v>306335</v>
      </c>
      <c r="C26" s="36">
        <f t="shared" si="1"/>
        <v>-24050</v>
      </c>
      <c r="D26" s="26">
        <f t="shared" si="1"/>
        <v>-2512</v>
      </c>
      <c r="E26" s="4">
        <f t="shared" si="1"/>
        <v>235</v>
      </c>
      <c r="F26" s="36">
        <f t="shared" si="1"/>
        <v>-22042</v>
      </c>
      <c r="G26" s="4">
        <f t="shared" si="1"/>
        <v>14772</v>
      </c>
      <c r="H26" s="26">
        <f t="shared" si="1"/>
        <v>-503</v>
      </c>
      <c r="I26" s="26">
        <f t="shared" si="1"/>
        <v>10367</v>
      </c>
      <c r="J26" s="36">
        <f>SUM(J17:J25)</f>
        <v>-5950</v>
      </c>
      <c r="K26" s="30">
        <f>SUM(K17:K24)</f>
        <v>-2392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85</v>
      </c>
      <c r="B28" s="3"/>
      <c r="C28" s="3"/>
      <c r="D28" s="3"/>
      <c r="E28" s="3"/>
      <c r="F28" s="3"/>
      <c r="G28" s="3"/>
      <c r="H28" s="3"/>
      <c r="I28" s="3"/>
      <c r="J28" s="3"/>
      <c r="K28" s="14"/>
    </row>
    <row r="29" spans="1:11" ht="12.75" customHeight="1">
      <c r="A29" s="13" t="s">
        <v>86</v>
      </c>
      <c r="B29" s="24">
        <v>-228949</v>
      </c>
      <c r="C29" s="24">
        <v>-41764</v>
      </c>
      <c r="D29" s="24">
        <v>-40060</v>
      </c>
      <c r="E29" s="24">
        <v>-15432</v>
      </c>
      <c r="F29" s="3">
        <v>41168</v>
      </c>
      <c r="G29" s="24">
        <v>-37495</v>
      </c>
      <c r="H29" s="24">
        <v>-12994</v>
      </c>
      <c r="I29" s="24"/>
      <c r="J29" s="24">
        <v>32561</v>
      </c>
      <c r="K29" s="35">
        <v>-11234</v>
      </c>
    </row>
    <row r="30" spans="1:11" ht="12.75" customHeight="1">
      <c r="A30" s="13" t="s">
        <v>87</v>
      </c>
      <c r="B30" s="24">
        <v>-133170</v>
      </c>
      <c r="C30" s="24">
        <v>-150759</v>
      </c>
      <c r="D30" s="24">
        <v>-283</v>
      </c>
      <c r="E30" s="24">
        <v>-3061</v>
      </c>
      <c r="F30" s="3"/>
      <c r="G30" s="24">
        <v>-6724</v>
      </c>
      <c r="H30" s="24">
        <v>-51177</v>
      </c>
      <c r="I30" s="24"/>
      <c r="J30" s="24">
        <v>-13533</v>
      </c>
      <c r="K30" s="14"/>
    </row>
    <row r="31" spans="1:11" ht="12.75" customHeight="1">
      <c r="A31" s="13" t="s">
        <v>88</v>
      </c>
      <c r="B31" s="3" t="s">
        <v>104</v>
      </c>
      <c r="C31" s="3"/>
      <c r="D31" s="3"/>
      <c r="E31" s="3"/>
      <c r="F31" s="3"/>
      <c r="G31" s="24"/>
      <c r="H31" s="24"/>
      <c r="I31" s="24"/>
      <c r="J31" s="24">
        <v>-852</v>
      </c>
      <c r="K31" s="14"/>
    </row>
    <row r="32" spans="1:11" ht="12.75" customHeight="1">
      <c r="A32" s="17"/>
      <c r="B32" s="3"/>
      <c r="C32" s="3"/>
      <c r="D32" s="3"/>
      <c r="E32" s="3"/>
      <c r="F32" s="3"/>
      <c r="G32" s="3"/>
      <c r="H32" s="3"/>
      <c r="I32" s="3"/>
      <c r="J32" s="3"/>
      <c r="K32" s="14"/>
    </row>
    <row r="33" spans="1:11" ht="12.75" customHeight="1">
      <c r="A33" s="11" t="s">
        <v>89</v>
      </c>
      <c r="B33" s="26">
        <f aca="true" t="shared" si="2" ref="B33:G33">SUM(B29:B30)</f>
        <v>-362119</v>
      </c>
      <c r="C33" s="26">
        <f t="shared" si="2"/>
        <v>-192523</v>
      </c>
      <c r="D33" s="26">
        <f t="shared" si="2"/>
        <v>-40343</v>
      </c>
      <c r="E33" s="26">
        <f t="shared" si="2"/>
        <v>-18493</v>
      </c>
      <c r="F33" s="26">
        <f t="shared" si="2"/>
        <v>41168</v>
      </c>
      <c r="G33" s="26">
        <f t="shared" si="2"/>
        <v>-44219</v>
      </c>
      <c r="H33" s="26">
        <f>SUM(H29:H31)</f>
        <v>-64171</v>
      </c>
      <c r="I33" s="26">
        <f>SUM(I29:I31)</f>
        <v>0</v>
      </c>
      <c r="J33" s="26">
        <f>SUM(J29:J31)</f>
        <v>18176</v>
      </c>
      <c r="K33" s="30">
        <f>SUM(K29:K30)</f>
        <v>-11234</v>
      </c>
    </row>
    <row r="34" spans="1:11" ht="12.75" customHeight="1">
      <c r="A34" s="17"/>
      <c r="B34" s="3"/>
      <c r="C34" s="3"/>
      <c r="D34" s="3"/>
      <c r="E34" s="3"/>
      <c r="F34" s="3"/>
      <c r="G34" s="3"/>
      <c r="H34" s="3"/>
      <c r="I34" s="3"/>
      <c r="J34" s="3"/>
      <c r="K34" s="14"/>
    </row>
    <row r="35" spans="1:11" ht="12.75" customHeight="1">
      <c r="A35" s="11" t="s">
        <v>90</v>
      </c>
      <c r="B35" s="26">
        <f aca="true" t="shared" si="3" ref="B35:J35">SUM(B14+(B26+B33))</f>
        <v>-14887</v>
      </c>
      <c r="C35" s="4">
        <f t="shared" si="3"/>
        <v>311961</v>
      </c>
      <c r="D35" s="26">
        <v>6197</v>
      </c>
      <c r="E35" s="26">
        <f t="shared" si="3"/>
        <v>1200</v>
      </c>
      <c r="F35" s="4">
        <f t="shared" si="3"/>
        <v>14030</v>
      </c>
      <c r="G35" s="26">
        <f t="shared" si="3"/>
        <v>-9880</v>
      </c>
      <c r="H35" s="26">
        <f t="shared" si="3"/>
        <v>-3097</v>
      </c>
      <c r="I35" s="26">
        <f t="shared" si="3"/>
        <v>597</v>
      </c>
      <c r="J35" s="26">
        <f t="shared" si="3"/>
        <v>49417</v>
      </c>
      <c r="K35" s="30">
        <v>-6425</v>
      </c>
    </row>
    <row r="36" spans="1:11" ht="12.75" customHeight="1">
      <c r="A36" s="11"/>
      <c r="B36" s="3"/>
      <c r="C36" s="3"/>
      <c r="D36" s="3"/>
      <c r="E36" s="3"/>
      <c r="F36" s="37"/>
      <c r="G36" s="3"/>
      <c r="H36" s="3"/>
      <c r="I36" s="3"/>
      <c r="J36" s="3"/>
      <c r="K36" s="14"/>
    </row>
    <row r="37" spans="1:11" ht="12.75" customHeight="1">
      <c r="A37" s="11" t="s">
        <v>91</v>
      </c>
      <c r="B37" s="4">
        <f>20631</f>
        <v>20631</v>
      </c>
      <c r="C37" s="4">
        <f>99487</f>
        <v>99487</v>
      </c>
      <c r="D37" s="4">
        <v>17891</v>
      </c>
      <c r="E37" s="4">
        <v>847</v>
      </c>
      <c r="F37" s="4">
        <v>9373</v>
      </c>
      <c r="G37" s="4">
        <v>32846</v>
      </c>
      <c r="H37" s="4">
        <v>5995</v>
      </c>
      <c r="I37" s="4">
        <v>36</v>
      </c>
      <c r="J37" s="4">
        <v>24858</v>
      </c>
      <c r="K37" s="15">
        <v>22102</v>
      </c>
    </row>
    <row r="38" spans="1:11" ht="12.75" customHeight="1">
      <c r="A38" s="11"/>
      <c r="B38" s="4"/>
      <c r="C38" s="4"/>
      <c r="D38" s="4"/>
      <c r="E38" s="4"/>
      <c r="F38" s="4"/>
      <c r="G38" s="4"/>
      <c r="H38" s="4"/>
      <c r="I38" s="4"/>
      <c r="J38" s="4"/>
      <c r="K38" s="15"/>
    </row>
    <row r="39" spans="1:11" ht="12.75" customHeight="1">
      <c r="A39" s="11" t="s">
        <v>105</v>
      </c>
      <c r="B39" s="4">
        <v>1222</v>
      </c>
      <c r="C39" s="4">
        <v>10477</v>
      </c>
      <c r="D39" s="4">
        <v>1338</v>
      </c>
      <c r="E39" s="4">
        <v>17</v>
      </c>
      <c r="F39" s="4">
        <v>758</v>
      </c>
      <c r="G39" s="4">
        <v>0</v>
      </c>
      <c r="H39" s="4">
        <v>536</v>
      </c>
      <c r="I39" s="4">
        <v>0</v>
      </c>
      <c r="J39" s="4">
        <v>0</v>
      </c>
      <c r="K39" s="15">
        <v>0</v>
      </c>
    </row>
    <row r="40" spans="1:11" ht="12.75" customHeight="1">
      <c r="A40" s="11"/>
      <c r="B40" s="4"/>
      <c r="C40" s="4"/>
      <c r="D40" s="4"/>
      <c r="E40" s="47"/>
      <c r="F40" s="47"/>
      <c r="G40" s="4"/>
      <c r="H40" s="4"/>
      <c r="I40" s="4"/>
      <c r="J40" s="4"/>
      <c r="K40" s="15"/>
    </row>
    <row r="41" spans="1:11" ht="12.75" customHeight="1" thickBot="1">
      <c r="A41" s="20" t="s">
        <v>92</v>
      </c>
      <c r="B41" s="21">
        <f>SUM(B35+B37+B39)</f>
        <v>6966</v>
      </c>
      <c r="C41" s="21">
        <f>SUM(C35+C37+C39)</f>
        <v>421925</v>
      </c>
      <c r="D41" s="21">
        <f aca="true" t="shared" si="4" ref="D41:K41">SUM(D35+D37+D39)</f>
        <v>25426</v>
      </c>
      <c r="E41" s="21">
        <f t="shared" si="4"/>
        <v>2064</v>
      </c>
      <c r="F41" s="21">
        <f t="shared" si="4"/>
        <v>24161</v>
      </c>
      <c r="G41" s="21">
        <f t="shared" si="4"/>
        <v>22966</v>
      </c>
      <c r="H41" s="21">
        <f t="shared" si="4"/>
        <v>3434</v>
      </c>
      <c r="I41" s="21">
        <f t="shared" si="4"/>
        <v>633</v>
      </c>
      <c r="J41" s="21">
        <f t="shared" si="4"/>
        <v>74275</v>
      </c>
      <c r="K41" s="22">
        <f t="shared" si="4"/>
        <v>15677</v>
      </c>
    </row>
    <row r="42" spans="1:9" ht="16.5" customHeight="1">
      <c r="A42" s="82" t="s">
        <v>113</v>
      </c>
      <c r="B42" s="82"/>
      <c r="C42" s="82"/>
      <c r="D42" s="82"/>
      <c r="E42" s="82"/>
      <c r="F42" s="82"/>
      <c r="G42" s="82"/>
      <c r="H42" s="82"/>
      <c r="I42" s="75"/>
    </row>
    <row r="43" spans="1:4" ht="15.75" thickBot="1">
      <c r="A43" s="1"/>
      <c r="B43" s="1"/>
      <c r="C43" s="40"/>
      <c r="D43" s="38" t="s">
        <v>13</v>
      </c>
    </row>
    <row r="44" spans="1:4" ht="21">
      <c r="A44" s="10"/>
      <c r="B44" s="63" t="s">
        <v>10</v>
      </c>
      <c r="C44" s="61" t="s">
        <v>11</v>
      </c>
      <c r="D44" s="62" t="s">
        <v>12</v>
      </c>
    </row>
    <row r="45" spans="1:4" ht="12.75" customHeight="1">
      <c r="A45" s="11" t="s">
        <v>65</v>
      </c>
      <c r="B45" s="33"/>
      <c r="C45" s="33"/>
      <c r="D45" s="34"/>
    </row>
    <row r="46" spans="1:4" ht="12.75" customHeight="1">
      <c r="A46" s="13" t="s">
        <v>66</v>
      </c>
      <c r="B46" s="24">
        <v>7002746</v>
      </c>
      <c r="C46" s="24">
        <v>2061649</v>
      </c>
      <c r="D46" s="35">
        <v>1023085</v>
      </c>
    </row>
    <row r="47" spans="1:4" ht="12.75" customHeight="1">
      <c r="A47" s="13" t="s">
        <v>67</v>
      </c>
      <c r="B47" s="24"/>
      <c r="C47" s="24"/>
      <c r="D47" s="35"/>
    </row>
    <row r="48" spans="1:4" ht="12.75" customHeight="1">
      <c r="A48" s="13" t="s">
        <v>68</v>
      </c>
      <c r="B48" s="24">
        <v>5417</v>
      </c>
      <c r="C48" s="24"/>
      <c r="D48" s="35">
        <v>3721</v>
      </c>
    </row>
    <row r="49" spans="1:4" ht="12.75" customHeight="1">
      <c r="A49" s="13" t="s">
        <v>69</v>
      </c>
      <c r="B49" s="24">
        <v>-5310078</v>
      </c>
      <c r="C49" s="24">
        <v>-1852820</v>
      </c>
      <c r="D49" s="35">
        <v>-853721</v>
      </c>
    </row>
    <row r="50" spans="1:4" ht="12.75" customHeight="1">
      <c r="A50" s="13" t="s">
        <v>70</v>
      </c>
      <c r="B50" s="24">
        <v>-588557</v>
      </c>
      <c r="C50" s="24">
        <v>-133067</v>
      </c>
      <c r="D50" s="35">
        <v>-71184</v>
      </c>
    </row>
    <row r="51" spans="1:4" ht="12.75" customHeight="1">
      <c r="A51" s="13" t="s">
        <v>71</v>
      </c>
      <c r="B51" s="24">
        <v>-55709</v>
      </c>
      <c r="C51" s="24"/>
      <c r="D51" s="35">
        <v>-184</v>
      </c>
    </row>
    <row r="52" spans="1:4" ht="12.75" customHeight="1">
      <c r="A52" s="13" t="s">
        <v>72</v>
      </c>
      <c r="B52" s="24">
        <v>-2662</v>
      </c>
      <c r="C52" s="24">
        <v>-15367</v>
      </c>
      <c r="D52" s="35">
        <v>-63327</v>
      </c>
    </row>
    <row r="53" spans="1:4" ht="12.75" customHeight="1">
      <c r="A53" s="13" t="s">
        <v>73</v>
      </c>
      <c r="B53" s="24">
        <v>-867292</v>
      </c>
      <c r="C53" s="24">
        <v>-47031</v>
      </c>
      <c r="D53" s="35">
        <v>-2305</v>
      </c>
    </row>
    <row r="54" spans="1:4" ht="12.75" customHeight="1">
      <c r="A54" s="17"/>
      <c r="B54" s="24"/>
      <c r="C54" s="24"/>
      <c r="D54" s="35"/>
    </row>
    <row r="55" spans="1:4" ht="12.75" customHeight="1">
      <c r="A55" s="11" t="s">
        <v>74</v>
      </c>
      <c r="B55" s="26">
        <f>SUM(B45:B54)</f>
        <v>183865</v>
      </c>
      <c r="C55" s="26">
        <f>SUM(C45:C54)</f>
        <v>13364</v>
      </c>
      <c r="D55" s="30">
        <f>SUM(D45:D54)</f>
        <v>36085</v>
      </c>
    </row>
    <row r="56" spans="1:4" ht="12.75" customHeight="1">
      <c r="A56" s="17"/>
      <c r="B56" s="24"/>
      <c r="C56" s="24"/>
      <c r="D56" s="35"/>
    </row>
    <row r="57" spans="1:4" ht="12.75" customHeight="1">
      <c r="A57" s="11" t="s">
        <v>75</v>
      </c>
      <c r="B57" s="24"/>
      <c r="C57" s="24"/>
      <c r="D57" s="35"/>
    </row>
    <row r="58" spans="1:4" ht="12.75" customHeight="1">
      <c r="A58" s="13" t="s">
        <v>76</v>
      </c>
      <c r="B58" s="24"/>
      <c r="C58" s="24"/>
      <c r="D58" s="35"/>
    </row>
    <row r="59" spans="1:4" ht="12.75" customHeight="1">
      <c r="A59" s="13" t="s">
        <v>77</v>
      </c>
      <c r="B59" s="24"/>
      <c r="C59" s="24"/>
      <c r="D59" s="35">
        <v>59</v>
      </c>
    </row>
    <row r="60" spans="1:4" ht="12.75" customHeight="1">
      <c r="A60" s="13" t="s">
        <v>78</v>
      </c>
      <c r="B60" s="24"/>
      <c r="C60" s="24"/>
      <c r="D60" s="35"/>
    </row>
    <row r="61" spans="1:4" ht="12.75" customHeight="1">
      <c r="A61" s="13" t="s">
        <v>79</v>
      </c>
      <c r="B61" s="24"/>
      <c r="C61" s="24"/>
      <c r="D61" s="35"/>
    </row>
    <row r="62" spans="1:4" ht="12.75" customHeight="1">
      <c r="A62" s="13" t="s">
        <v>80</v>
      </c>
      <c r="B62" s="24"/>
      <c r="C62" s="24"/>
      <c r="D62" s="35"/>
    </row>
    <row r="63" spans="1:4" ht="12.75" customHeight="1">
      <c r="A63" s="13" t="s">
        <v>81</v>
      </c>
      <c r="B63" s="24"/>
      <c r="C63" s="24"/>
      <c r="D63" s="35"/>
    </row>
    <row r="64" spans="1:4" ht="12.75" customHeight="1">
      <c r="A64" s="13" t="s">
        <v>82</v>
      </c>
      <c r="B64" s="24">
        <v>-7771</v>
      </c>
      <c r="C64" s="24">
        <v>-400</v>
      </c>
      <c r="D64" s="35">
        <v>-6488</v>
      </c>
    </row>
    <row r="65" spans="1:4" ht="12.75" customHeight="1">
      <c r="A65" s="13" t="s">
        <v>83</v>
      </c>
      <c r="B65" s="24"/>
      <c r="C65" s="24"/>
      <c r="D65" s="35"/>
    </row>
    <row r="66" spans="1:4" ht="12.75" customHeight="1">
      <c r="A66" s="17"/>
      <c r="B66" s="24"/>
      <c r="C66" s="24"/>
      <c r="D66" s="35"/>
    </row>
    <row r="67" spans="1:4" ht="12.75" customHeight="1">
      <c r="A67" s="11" t="s">
        <v>84</v>
      </c>
      <c r="B67" s="26">
        <f>SUM(B57:B66)</f>
        <v>-7771</v>
      </c>
      <c r="C67" s="26">
        <f>SUM(C57:C66)</f>
        <v>-400</v>
      </c>
      <c r="D67" s="30">
        <f>SUM(D57:D66)</f>
        <v>-6429</v>
      </c>
    </row>
    <row r="68" spans="1:4" ht="12.75" customHeight="1">
      <c r="A68" s="17"/>
      <c r="B68" s="24"/>
      <c r="C68" s="24"/>
      <c r="D68" s="35"/>
    </row>
    <row r="69" spans="1:4" ht="12.75" customHeight="1">
      <c r="A69" s="11" t="s">
        <v>85</v>
      </c>
      <c r="B69" s="24"/>
      <c r="C69" s="24"/>
      <c r="D69" s="35"/>
    </row>
    <row r="70" spans="1:7" ht="12.75" customHeight="1">
      <c r="A70" s="13" t="s">
        <v>86</v>
      </c>
      <c r="B70" s="24">
        <v>-90470</v>
      </c>
      <c r="C70" s="24"/>
      <c r="D70" s="35">
        <v>0</v>
      </c>
      <c r="G70" s="43"/>
    </row>
    <row r="71" spans="1:4" ht="12.75" customHeight="1">
      <c r="A71" s="13" t="s">
        <v>87</v>
      </c>
      <c r="B71" s="24"/>
      <c r="C71" s="24"/>
      <c r="D71" s="35"/>
    </row>
    <row r="72" spans="1:4" ht="12.75" customHeight="1">
      <c r="A72" s="13" t="s">
        <v>88</v>
      </c>
      <c r="B72" s="24"/>
      <c r="C72" s="24"/>
      <c r="D72" s="35">
        <v>-4435</v>
      </c>
    </row>
    <row r="73" spans="1:4" ht="12.75" customHeight="1">
      <c r="A73" s="17"/>
      <c r="B73" s="24"/>
      <c r="C73" s="24"/>
      <c r="D73" s="35"/>
    </row>
    <row r="74" spans="1:4" ht="12.75" customHeight="1">
      <c r="A74" s="11" t="s">
        <v>89</v>
      </c>
      <c r="B74" s="26">
        <f>SUM(B70:B71)</f>
        <v>-90470</v>
      </c>
      <c r="C74" s="26">
        <f>SUM(C70:C71)</f>
        <v>0</v>
      </c>
      <c r="D74" s="30">
        <f>SUM(D70:D73)</f>
        <v>-4435</v>
      </c>
    </row>
    <row r="75" spans="1:4" ht="12.75" customHeight="1">
      <c r="A75" s="17"/>
      <c r="B75" s="24"/>
      <c r="C75" s="24"/>
      <c r="D75" s="35"/>
    </row>
    <row r="76" spans="1:4" ht="12.75" customHeight="1">
      <c r="A76" s="11" t="s">
        <v>90</v>
      </c>
      <c r="B76" s="26">
        <f>SUM(B55+(B67+B74))</f>
        <v>85624</v>
      </c>
      <c r="C76" s="26">
        <v>12964</v>
      </c>
      <c r="D76" s="30">
        <v>25220</v>
      </c>
    </row>
    <row r="77" spans="1:4" ht="12.75" customHeight="1">
      <c r="A77" s="11"/>
      <c r="B77" s="24"/>
      <c r="C77" s="24"/>
      <c r="D77" s="35"/>
    </row>
    <row r="78" spans="1:4" ht="12.75" customHeight="1">
      <c r="A78" s="11" t="s">
        <v>91</v>
      </c>
      <c r="B78" s="26">
        <v>22438</v>
      </c>
      <c r="C78" s="26">
        <v>17201</v>
      </c>
      <c r="D78" s="30">
        <v>16615</v>
      </c>
    </row>
    <row r="79" spans="1:4" ht="12.75" customHeight="1">
      <c r="A79" s="11" t="s">
        <v>93</v>
      </c>
      <c r="B79" s="26">
        <v>-11384</v>
      </c>
      <c r="C79" s="26"/>
      <c r="D79" s="30">
        <v>17</v>
      </c>
    </row>
    <row r="80" spans="1:4" ht="12.75" customHeight="1">
      <c r="A80" s="17"/>
      <c r="B80" s="26"/>
      <c r="C80" s="26"/>
      <c r="D80" s="30"/>
    </row>
    <row r="81" spans="1:4" ht="12.75" customHeight="1" thickBot="1">
      <c r="A81" s="20" t="s">
        <v>92</v>
      </c>
      <c r="B81" s="27">
        <f>SUM(B76+B78+B79)</f>
        <v>96678</v>
      </c>
      <c r="C81" s="27">
        <f>SUM(C76+C78)</f>
        <v>30165</v>
      </c>
      <c r="D81" s="31">
        <f>SUM(D76,D78,D79)</f>
        <v>41852</v>
      </c>
    </row>
  </sheetData>
  <mergeCells count="2">
    <mergeCell ref="A1:K1"/>
    <mergeCell ref="A42:H42"/>
  </mergeCells>
  <printOptions/>
  <pageMargins left="0.17" right="0.17" top="0.44" bottom="0.54" header="0.22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E37" sqref="E37"/>
    </sheetView>
  </sheetViews>
  <sheetFormatPr defaultColWidth="9.140625" defaultRowHeight="12.75"/>
  <cols>
    <col min="1" max="1" width="37.7109375" style="39" customWidth="1"/>
    <col min="2" max="2" width="11.421875" style="39" customWidth="1"/>
    <col min="3" max="9" width="10.71093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11" ht="14.25" customHeight="1">
      <c r="A1" s="82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9" ht="14.25" customHeight="1">
      <c r="A2" s="83"/>
      <c r="B2" s="83"/>
      <c r="C2" s="83"/>
      <c r="D2" s="83"/>
      <c r="E2" s="83"/>
      <c r="F2" s="83"/>
      <c r="G2" s="83"/>
      <c r="H2" s="83"/>
      <c r="I2" s="76"/>
    </row>
    <row r="3" spans="1:11" ht="16.5" customHeight="1" thickBot="1">
      <c r="A3" s="1"/>
      <c r="B3" s="1"/>
      <c r="C3" s="40"/>
      <c r="D3" s="2"/>
      <c r="E3" s="41"/>
      <c r="F3" s="41"/>
      <c r="G3" s="41"/>
      <c r="H3" s="41"/>
      <c r="I3" s="41"/>
      <c r="K3" s="44"/>
    </row>
    <row r="4" spans="1:11" ht="16.5" customHeight="1">
      <c r="A4" s="10"/>
      <c r="B4" s="60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118</v>
      </c>
      <c r="J4" s="61" t="s">
        <v>8</v>
      </c>
      <c r="K4" s="62" t="s">
        <v>9</v>
      </c>
    </row>
    <row r="5" spans="1:11" ht="12.75" customHeight="1">
      <c r="A5" s="11"/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 customHeight="1">
      <c r="A6" s="11" t="s">
        <v>94</v>
      </c>
      <c r="B6" s="48">
        <f>72523*100/((3396943+3493955)/2)</f>
        <v>2.104892569879862</v>
      </c>
      <c r="C6" s="48">
        <f>312399*100/((2069559+1922110)/2)</f>
        <v>15.65255034923988</v>
      </c>
      <c r="D6" s="48">
        <f>6283*100/((214637+232068)/2)</f>
        <v>2.8130421642918706</v>
      </c>
      <c r="E6" s="48">
        <f>7326*100/((86872+94353)/2)</f>
        <v>8.084977238239757</v>
      </c>
      <c r="F6" s="48">
        <f>1929*100/((248003+217026)/2)</f>
        <v>0.8296256792587129</v>
      </c>
      <c r="G6" s="48"/>
      <c r="H6" s="48">
        <f>70295*100/((230444+254283)/2)</f>
        <v>29.003954803425433</v>
      </c>
      <c r="I6" s="48">
        <f>539*100/((20796+3915)/2)</f>
        <v>4.3624296871838455</v>
      </c>
      <c r="J6" s="48">
        <f>7803*100/((406616+348521)/2)</f>
        <v>2.0666448604690273</v>
      </c>
      <c r="K6" s="54">
        <f>14325*100/((406591+455903)/2)</f>
        <v>3.3217622383460057</v>
      </c>
    </row>
    <row r="7" spans="1:11" ht="12.75" customHeight="1">
      <c r="A7" s="11"/>
      <c r="B7" s="3"/>
      <c r="C7" s="48"/>
      <c r="D7" s="48"/>
      <c r="E7" s="48"/>
      <c r="F7" s="48"/>
      <c r="G7" s="48"/>
      <c r="H7" s="48"/>
      <c r="I7" s="48"/>
      <c r="J7" s="48"/>
      <c r="K7" s="54"/>
    </row>
    <row r="8" spans="1:11" ht="15" customHeight="1">
      <c r="A8" s="11" t="s">
        <v>95</v>
      </c>
      <c r="B8" s="48">
        <f>241846*100/((2438791+2359328)/2)</f>
        <v>10.080867106464012</v>
      </c>
      <c r="C8" s="48">
        <f>225883*100/((589562+498679)/2)</f>
        <v>41.51341476750095</v>
      </c>
      <c r="D8" s="48"/>
      <c r="E8" s="48">
        <f>2077*100/((12948+13472)/2)</f>
        <v>15.722937168811507</v>
      </c>
      <c r="F8" s="48"/>
      <c r="G8" s="48"/>
      <c r="H8" s="48">
        <f>53237*100/((173006+170970)/2)</f>
        <v>30.953903760727492</v>
      </c>
      <c r="I8" s="48">
        <f>539*100/((3190+2899)/2)</f>
        <v>17.704056495319428</v>
      </c>
      <c r="J8" s="48">
        <f>18738*100/((211626+206849)/2)</f>
        <v>8.955373678236453</v>
      </c>
      <c r="K8" s="54"/>
    </row>
    <row r="9" spans="1:11" ht="12.75" customHeight="1">
      <c r="A9" s="11"/>
      <c r="B9" s="48"/>
      <c r="C9" s="48"/>
      <c r="D9" s="48"/>
      <c r="E9" s="48"/>
      <c r="F9" s="48"/>
      <c r="G9" s="48"/>
      <c r="H9" s="48"/>
      <c r="I9" s="48"/>
      <c r="J9" s="48"/>
      <c r="K9" s="54"/>
    </row>
    <row r="10" spans="1:11" ht="15" customHeight="1">
      <c r="A10" s="11" t="s">
        <v>99</v>
      </c>
      <c r="B10" s="48">
        <f>72523*100/578003</f>
        <v>12.547166710207387</v>
      </c>
      <c r="C10" s="48">
        <f>312399*100/1807899</f>
        <v>17.279671043570463</v>
      </c>
      <c r="D10" s="48">
        <f>6283*100/162938</f>
        <v>3.8560679522272276</v>
      </c>
      <c r="E10" s="48">
        <f>7326*100/195618</f>
        <v>3.7450541361224428</v>
      </c>
      <c r="F10" s="48">
        <f>1929*100/249787</f>
        <v>0.772257963785145</v>
      </c>
      <c r="G10" s="48"/>
      <c r="H10" s="48">
        <f>70295*100/267676</f>
        <v>26.261226258611156</v>
      </c>
      <c r="I10" s="48">
        <f>539*100/13316</f>
        <v>4.047762090717933</v>
      </c>
      <c r="J10" s="48">
        <f>7803*100/526085</f>
        <v>1.4832203921419542</v>
      </c>
      <c r="K10" s="54">
        <f>14325*100/530885</f>
        <v>2.69832449588894</v>
      </c>
    </row>
    <row r="11" spans="1:11" ht="12.75" customHeight="1">
      <c r="A11" s="11"/>
      <c r="B11" s="48"/>
      <c r="C11" s="48"/>
      <c r="D11" s="48"/>
      <c r="E11" s="48"/>
      <c r="F11" s="48"/>
      <c r="G11" s="48"/>
      <c r="H11" s="48"/>
      <c r="I11" s="48"/>
      <c r="J11" s="48"/>
      <c r="K11" s="54"/>
    </row>
    <row r="12" spans="1:11" ht="15" customHeight="1">
      <c r="A12" s="56" t="s">
        <v>102</v>
      </c>
      <c r="B12" s="48">
        <f>6966/(282273+37870)</f>
        <v>0.02175902643506183</v>
      </c>
      <c r="C12" s="48">
        <f>421925/(1025659+1183)</f>
        <v>0.4108957366371847</v>
      </c>
      <c r="D12" s="48">
        <f>25426/(93112+1164)</f>
        <v>0.26969748398319826</v>
      </c>
      <c r="E12" s="48">
        <f>2064/(70930+88)</f>
        <v>0.02906305443690332</v>
      </c>
      <c r="F12" s="48">
        <f>24161/(101349+1385)</f>
        <v>0.2351801740416999</v>
      </c>
      <c r="G12" s="48">
        <f>22966/(223367+142)</f>
        <v>0.10275201446026781</v>
      </c>
      <c r="H12" s="48">
        <f>3434/(34813+62)</f>
        <v>0.09846594982078853</v>
      </c>
      <c r="I12" s="48">
        <f>633/(17786+0)</f>
        <v>0.035589789722253455</v>
      </c>
      <c r="J12" s="48">
        <f>74275/(176859+1725)</f>
        <v>0.4159107198853201</v>
      </c>
      <c r="K12" s="54">
        <f>15677/(104559+5093)</f>
        <v>0.14297048845438295</v>
      </c>
    </row>
    <row r="13" spans="1:11" ht="12.75" customHeight="1">
      <c r="A13" s="11"/>
      <c r="B13" s="49"/>
      <c r="C13" s="49"/>
      <c r="D13" s="49"/>
      <c r="E13" s="49"/>
      <c r="F13" s="49"/>
      <c r="G13" s="49"/>
      <c r="H13" s="49"/>
      <c r="I13" s="49"/>
      <c r="J13" s="49"/>
      <c r="K13" s="55"/>
    </row>
    <row r="14" spans="1:11" ht="15" customHeight="1">
      <c r="A14" s="56" t="s">
        <v>103</v>
      </c>
      <c r="B14" s="48">
        <f>(696748-3111)/(282273+37870)</f>
        <v>2.1666474044411403</v>
      </c>
      <c r="C14" s="48">
        <f>(1969902-648570)/(1025659+1183)</f>
        <v>1.286791930988409</v>
      </c>
      <c r="D14" s="48">
        <f>(129182-69891)/(93112+1164)</f>
        <v>0.6289087360515931</v>
      </c>
      <c r="E14" s="48">
        <f>(85192-22750)/(70930+88)</f>
        <v>0.8792418823396886</v>
      </c>
      <c r="F14" s="48">
        <f>(133569-66422)/(101349+1385)</f>
        <v>0.653600560671248</v>
      </c>
      <c r="G14" s="48">
        <f>(351833-181932)/(223367+142)</f>
        <v>0.7601528350088811</v>
      </c>
      <c r="H14" s="48">
        <f>(225291-83567)/(34813+62)</f>
        <v>4.063770609318996</v>
      </c>
      <c r="I14" s="48">
        <f>(18428-11610)/(17786+0)</f>
        <v>0.3833352074665467</v>
      </c>
      <c r="J14" s="48">
        <f>(292561-46399)/(176859+1725)</f>
        <v>1.3784101599247414</v>
      </c>
      <c r="K14" s="54">
        <f>(123005-76093)/(104559+5093)</f>
        <v>0.42782621384014885</v>
      </c>
    </row>
    <row r="15" spans="1:11" ht="12.75" customHeight="1">
      <c r="A15" s="11"/>
      <c r="B15" s="48"/>
      <c r="C15" s="48"/>
      <c r="D15" s="48"/>
      <c r="E15" s="48"/>
      <c r="F15" s="48"/>
      <c r="G15" s="48"/>
      <c r="H15" s="48"/>
      <c r="I15" s="48"/>
      <c r="J15" s="48"/>
      <c r="K15" s="54"/>
    </row>
    <row r="16" spans="1:11" ht="15" customHeight="1">
      <c r="A16" s="57" t="s">
        <v>101</v>
      </c>
      <c r="B16" s="3">
        <f>696748-282273-37870</f>
        <v>376605</v>
      </c>
      <c r="C16" s="3">
        <f>1969902-1025659-1183</f>
        <v>943060</v>
      </c>
      <c r="D16" s="3">
        <f>129182-93112-1164</f>
        <v>34906</v>
      </c>
      <c r="E16" s="3">
        <f>85192-70930-88</f>
        <v>14174</v>
      </c>
      <c r="F16" s="3">
        <f>133569-101349-1385</f>
        <v>30835</v>
      </c>
      <c r="G16" s="3">
        <f>351833-223367-142</f>
        <v>128324</v>
      </c>
      <c r="H16" s="3">
        <f>225291-34813-62</f>
        <v>190416</v>
      </c>
      <c r="I16" s="3">
        <f>18428-17786</f>
        <v>642</v>
      </c>
      <c r="J16" s="3">
        <f>292561-176859-1725</f>
        <v>113977</v>
      </c>
      <c r="K16" s="14">
        <f>123005-104559-5093</f>
        <v>13353</v>
      </c>
    </row>
    <row r="17" spans="1:11" ht="12.7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ht="15" customHeight="1">
      <c r="A18" s="11" t="s">
        <v>100</v>
      </c>
      <c r="B18" s="48">
        <f>638009*100/3396943</f>
        <v>18.781857687927058</v>
      </c>
      <c r="C18" s="48">
        <f>453155*100/2069559</f>
        <v>21.896210738616293</v>
      </c>
      <c r="D18" s="48">
        <f>98477*100/214637</f>
        <v>45.88071954043338</v>
      </c>
      <c r="E18" s="48">
        <f>2906*100/86872</f>
        <v>3.3451514872456025</v>
      </c>
      <c r="F18" s="48">
        <f>145269*100/248003</f>
        <v>58.57550110280924</v>
      </c>
      <c r="G18" s="48">
        <f>62309*100/358022</f>
        <v>17.40367910351878</v>
      </c>
      <c r="H18" s="48">
        <f>22563*100/230444</f>
        <v>9.791098922080852</v>
      </c>
      <c r="I18" s="48">
        <f>0*100/20976</f>
        <v>0</v>
      </c>
      <c r="J18" s="48">
        <f>16406*100/406616</f>
        <v>4.034764987113149</v>
      </c>
      <c r="K18" s="54">
        <f>75314*100/406591</f>
        <v>18.523282610780857</v>
      </c>
    </row>
    <row r="19" spans="1:11" ht="12.75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ht="15" customHeight="1">
      <c r="A20" s="64" t="s">
        <v>107</v>
      </c>
      <c r="B20" s="69"/>
      <c r="C20" s="81">
        <v>66.73</v>
      </c>
      <c r="D20" s="81">
        <v>50.65</v>
      </c>
      <c r="E20" s="81">
        <v>100</v>
      </c>
      <c r="F20" s="81">
        <v>100</v>
      </c>
      <c r="G20" s="81">
        <v>100</v>
      </c>
      <c r="H20" s="81">
        <v>66.41</v>
      </c>
      <c r="I20" s="69">
        <v>100</v>
      </c>
      <c r="J20" s="77"/>
      <c r="K20" s="70">
        <v>100</v>
      </c>
    </row>
    <row r="21" spans="1:11" ht="12.75" customHeight="1">
      <c r="A21" s="64"/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ht="15" customHeight="1">
      <c r="A22" s="64" t="s">
        <v>108</v>
      </c>
      <c r="B22" s="65">
        <v>220</v>
      </c>
      <c r="C22" s="65">
        <v>185</v>
      </c>
      <c r="D22" s="65">
        <v>87</v>
      </c>
      <c r="E22" s="65">
        <v>112</v>
      </c>
      <c r="F22" s="65">
        <v>82</v>
      </c>
      <c r="G22" s="65">
        <v>122</v>
      </c>
      <c r="H22" s="65">
        <v>186</v>
      </c>
      <c r="I22" s="65">
        <v>88</v>
      </c>
      <c r="J22" s="65">
        <v>111</v>
      </c>
      <c r="K22" s="66">
        <v>19</v>
      </c>
    </row>
    <row r="23" spans="1:11" ht="12.75" customHeight="1" thickBot="1">
      <c r="A23" s="50"/>
      <c r="B23" s="51"/>
      <c r="C23" s="51"/>
      <c r="D23" s="51"/>
      <c r="E23" s="58"/>
      <c r="F23" s="51"/>
      <c r="G23" s="58"/>
      <c r="H23" s="58"/>
      <c r="I23" s="58"/>
      <c r="J23" s="58"/>
      <c r="K23" s="59"/>
    </row>
    <row r="24" spans="1:11" ht="12.75" customHeight="1">
      <c r="A24" s="52"/>
      <c r="B24" s="53"/>
      <c r="C24" s="53"/>
      <c r="D24" s="53"/>
      <c r="E24" s="8"/>
      <c r="F24" s="53"/>
      <c r="G24" s="8"/>
      <c r="H24" s="8"/>
      <c r="I24" s="8"/>
      <c r="J24" s="8"/>
      <c r="K24" s="8"/>
    </row>
    <row r="25" spans="1:11" ht="12.75" customHeight="1">
      <c r="A25" s="52"/>
      <c r="B25" s="53"/>
      <c r="C25" s="53"/>
      <c r="D25" s="53"/>
      <c r="E25" s="8"/>
      <c r="F25" s="53"/>
      <c r="G25" s="8"/>
      <c r="H25" s="8"/>
      <c r="I25" s="8"/>
      <c r="J25" s="8"/>
      <c r="K25" s="8"/>
    </row>
    <row r="26" spans="1:11" ht="12.75" customHeight="1">
      <c r="A26" s="52"/>
      <c r="B26" s="53"/>
      <c r="C26" s="53"/>
      <c r="D26" s="53"/>
      <c r="E26" s="8"/>
      <c r="F26" s="53"/>
      <c r="G26" s="8"/>
      <c r="H26" s="8"/>
      <c r="I26" s="8"/>
      <c r="J26" s="8"/>
      <c r="K26" s="8"/>
    </row>
    <row r="27" spans="1:11" ht="12.75" customHeight="1">
      <c r="A27" s="52"/>
      <c r="B27" s="53"/>
      <c r="C27" s="53"/>
      <c r="D27" s="53"/>
      <c r="E27" s="8"/>
      <c r="F27" s="53"/>
      <c r="G27" s="8"/>
      <c r="H27" s="8"/>
      <c r="I27" s="8"/>
      <c r="J27" s="8"/>
      <c r="K27" s="8"/>
    </row>
    <row r="28" spans="1:11" ht="12.75" customHeight="1">
      <c r="A28" s="52"/>
      <c r="B28" s="53"/>
      <c r="C28" s="53"/>
      <c r="D28" s="53"/>
      <c r="E28" s="8"/>
      <c r="F28" s="53"/>
      <c r="G28" s="8"/>
      <c r="H28" s="8"/>
      <c r="I28" s="8"/>
      <c r="J28" s="8"/>
      <c r="K28" s="8"/>
    </row>
    <row r="29" spans="1:11" ht="12.75" customHeight="1">
      <c r="A29" s="52"/>
      <c r="B29" s="53"/>
      <c r="C29" s="53"/>
      <c r="D29" s="53"/>
      <c r="E29" s="8"/>
      <c r="F29" s="53"/>
      <c r="G29" s="8"/>
      <c r="H29" s="8"/>
      <c r="I29" s="8"/>
      <c r="J29" s="8"/>
      <c r="K29" s="8"/>
    </row>
    <row r="30" spans="1:11" ht="12.75" customHeight="1">
      <c r="A30" s="52"/>
      <c r="B30" s="53"/>
      <c r="C30" s="53"/>
      <c r="D30" s="53"/>
      <c r="E30" s="8"/>
      <c r="F30" s="53"/>
      <c r="G30" s="8"/>
      <c r="H30" s="8"/>
      <c r="I30" s="8"/>
      <c r="J30" s="8"/>
      <c r="K30" s="8"/>
    </row>
    <row r="31" spans="1:11" ht="12.75" customHeight="1">
      <c r="A31" s="52"/>
      <c r="B31" s="53"/>
      <c r="C31" s="53"/>
      <c r="D31" s="53"/>
      <c r="E31" s="8"/>
      <c r="F31" s="53"/>
      <c r="G31" s="8"/>
      <c r="H31" s="8"/>
      <c r="I31" s="8"/>
      <c r="J31" s="8"/>
      <c r="K31" s="8"/>
    </row>
    <row r="32" spans="1:11" ht="12.75" customHeight="1">
      <c r="A32" s="52"/>
      <c r="B32" s="53"/>
      <c r="C32" s="53"/>
      <c r="D32" s="53"/>
      <c r="E32" s="8"/>
      <c r="F32" s="53"/>
      <c r="G32" s="8"/>
      <c r="H32" s="8"/>
      <c r="I32" s="8"/>
      <c r="J32" s="8"/>
      <c r="K32" s="8"/>
    </row>
    <row r="33" spans="1:11" ht="12.75" customHeight="1">
      <c r="A33" s="52"/>
      <c r="B33" s="53"/>
      <c r="C33" s="53"/>
      <c r="D33" s="53"/>
      <c r="E33" s="8"/>
      <c r="F33" s="53"/>
      <c r="G33" s="8"/>
      <c r="H33" s="8"/>
      <c r="I33" s="8"/>
      <c r="J33" s="8"/>
      <c r="K33" s="8"/>
    </row>
    <row r="34" spans="1:11" ht="12.75" customHeight="1">
      <c r="A34" s="52"/>
      <c r="B34" s="53"/>
      <c r="C34" s="53"/>
      <c r="D34" s="53"/>
      <c r="E34" s="8"/>
      <c r="F34" s="53"/>
      <c r="G34" s="8"/>
      <c r="H34" s="8"/>
      <c r="I34" s="8"/>
      <c r="J34" s="8"/>
      <c r="K34" s="8"/>
    </row>
    <row r="35" spans="1:11" ht="12.75" customHeight="1">
      <c r="A35" s="52"/>
      <c r="B35" s="53"/>
      <c r="C35" s="53"/>
      <c r="D35" s="53"/>
      <c r="E35" s="8"/>
      <c r="F35" s="53"/>
      <c r="G35" s="8"/>
      <c r="H35" s="8"/>
      <c r="I35" s="8"/>
      <c r="J35" s="8"/>
      <c r="K35" s="8"/>
    </row>
    <row r="36" spans="1:11" ht="12.75" customHeight="1">
      <c r="A36" s="52"/>
      <c r="B36" s="53"/>
      <c r="C36" s="53"/>
      <c r="D36" s="53"/>
      <c r="E36" s="8"/>
      <c r="F36" s="53"/>
      <c r="G36" s="8"/>
      <c r="H36" s="8"/>
      <c r="I36" s="8"/>
      <c r="J36" s="8"/>
      <c r="K36" s="8"/>
    </row>
    <row r="37" spans="1:11" ht="12.75" customHeight="1">
      <c r="A37" s="52"/>
      <c r="B37" s="53"/>
      <c r="C37" s="53"/>
      <c r="D37" s="53"/>
      <c r="E37" s="8"/>
      <c r="F37" s="53"/>
      <c r="G37" s="8"/>
      <c r="H37" s="8"/>
      <c r="I37" s="8"/>
      <c r="J37" s="8"/>
      <c r="K37" s="8"/>
    </row>
    <row r="38" spans="1:11" ht="12.75" customHeight="1">
      <c r="A38" s="52"/>
      <c r="B38" s="53"/>
      <c r="C38" s="8"/>
      <c r="D38" s="8"/>
      <c r="E38" s="8"/>
      <c r="F38" s="8"/>
      <c r="G38" s="8"/>
      <c r="H38" s="8"/>
      <c r="I38" s="8"/>
      <c r="J38" s="8"/>
      <c r="K38" s="8"/>
    </row>
    <row r="39" spans="1:9" ht="16.5" customHeight="1">
      <c r="A39" s="82" t="s">
        <v>116</v>
      </c>
      <c r="B39" s="82"/>
      <c r="C39" s="82"/>
      <c r="D39" s="82"/>
      <c r="E39" s="82"/>
      <c r="F39" s="82"/>
      <c r="G39" s="82"/>
      <c r="H39" s="82"/>
      <c r="I39" s="75"/>
    </row>
    <row r="40" spans="1:4" ht="15.75" thickBot="1">
      <c r="A40" s="1"/>
      <c r="B40" s="1"/>
      <c r="C40" s="40"/>
      <c r="D40" s="38"/>
    </row>
    <row r="41" spans="1:4" ht="21">
      <c r="A41" s="10"/>
      <c r="B41" s="63" t="s">
        <v>10</v>
      </c>
      <c r="C41" s="61" t="s">
        <v>11</v>
      </c>
      <c r="D41" s="62" t="s">
        <v>12</v>
      </c>
    </row>
    <row r="42" spans="1:4" ht="12.75" customHeight="1">
      <c r="A42" s="11"/>
      <c r="B42" s="33"/>
      <c r="C42" s="33"/>
      <c r="D42" s="34"/>
    </row>
    <row r="43" spans="1:4" ht="15" customHeight="1">
      <c r="A43" s="11" t="s">
        <v>94</v>
      </c>
      <c r="B43" s="48">
        <f>620833*100/((2301427+3457859)/2)</f>
        <v>21.55937385293941</v>
      </c>
      <c r="C43" s="48">
        <f>35579*100/((862097+893304)/2)</f>
        <v>4.053660673544107</v>
      </c>
      <c r="D43" s="54">
        <f>60019*100/((820070+721604)/2)</f>
        <v>7.786211611533956</v>
      </c>
    </row>
    <row r="44" spans="1:4" ht="12.75" customHeight="1">
      <c r="A44" s="11"/>
      <c r="B44" s="48"/>
      <c r="C44" s="48"/>
      <c r="D44" s="54"/>
    </row>
    <row r="45" spans="1:4" ht="15" customHeight="1">
      <c r="A45" s="11" t="s">
        <v>95</v>
      </c>
      <c r="B45" s="48">
        <f>118196*100/((120985+270)/2)</f>
        <v>194.9544348686652</v>
      </c>
      <c r="C45" s="48">
        <f>44598*100/((147555+98129)/2)</f>
        <v>36.30517249800557</v>
      </c>
      <c r="D45" s="54">
        <f>708*100/((30870+40120)/2)</f>
        <v>1.9946471333990703</v>
      </c>
    </row>
    <row r="46" spans="1:4" ht="12.75" customHeight="1">
      <c r="A46" s="11"/>
      <c r="B46" s="48"/>
      <c r="C46" s="48"/>
      <c r="D46" s="54"/>
    </row>
    <row r="47" spans="1:4" ht="15" customHeight="1">
      <c r="A47" s="11" t="s">
        <v>99</v>
      </c>
      <c r="B47" s="48">
        <f>620833*100/5588446</f>
        <v>11.109224281669716</v>
      </c>
      <c r="C47" s="48">
        <f>35579*100/1828372</f>
        <v>1.9459387914494424</v>
      </c>
      <c r="D47" s="54">
        <f>60019*100/933738</f>
        <v>6.42782022366017</v>
      </c>
    </row>
    <row r="48" spans="1:4" ht="12.75" customHeight="1">
      <c r="A48" s="11"/>
      <c r="B48" s="48"/>
      <c r="C48" s="48"/>
      <c r="D48" s="54"/>
    </row>
    <row r="49" spans="1:4" ht="15" customHeight="1">
      <c r="A49" s="56" t="s">
        <v>96</v>
      </c>
      <c r="B49" s="48">
        <f>96677/2180442</f>
        <v>0.04433825802291462</v>
      </c>
      <c r="C49" s="48">
        <f>30165/714542</f>
        <v>0.042215852951960835</v>
      </c>
      <c r="D49" s="54">
        <f>41852/786794</f>
        <v>0.05319308484813051</v>
      </c>
    </row>
    <row r="50" spans="1:4" ht="12.75" customHeight="1">
      <c r="A50" s="11"/>
      <c r="B50" s="49"/>
      <c r="C50" s="49"/>
      <c r="D50" s="55"/>
    </row>
    <row r="51" spans="1:4" ht="15" customHeight="1">
      <c r="A51" s="56" t="s">
        <v>97</v>
      </c>
      <c r="B51" s="48">
        <f>(2267149-404400)/2180442</f>
        <v>0.8542988073060416</v>
      </c>
      <c r="C51" s="48">
        <f>(838687-213740)/714542</f>
        <v>0.8746119892182684</v>
      </c>
      <c r="D51" s="54">
        <f>(808746-98973)/786794</f>
        <v>0.9021077944163275</v>
      </c>
    </row>
    <row r="52" spans="1:4" ht="12.75" customHeight="1">
      <c r="A52" s="11"/>
      <c r="B52" s="48"/>
      <c r="C52" s="48"/>
      <c r="D52" s="54"/>
    </row>
    <row r="53" spans="1:4" ht="15" customHeight="1">
      <c r="A53" s="57" t="s">
        <v>98</v>
      </c>
      <c r="B53" s="24">
        <f>2267149-2180442</f>
        <v>86707</v>
      </c>
      <c r="C53" s="24">
        <f>838687-714542</f>
        <v>124145</v>
      </c>
      <c r="D53" s="14">
        <f>808746-786794</f>
        <v>21952</v>
      </c>
    </row>
    <row r="54" spans="1:4" ht="12.75" customHeight="1">
      <c r="A54" s="64"/>
      <c r="B54" s="68"/>
      <c r="C54" s="68"/>
      <c r="D54" s="66"/>
    </row>
    <row r="55" spans="1:4" ht="15" customHeight="1">
      <c r="A55" s="11" t="s">
        <v>100</v>
      </c>
      <c r="B55" s="80">
        <f>0*100/2301427</f>
        <v>0</v>
      </c>
      <c r="C55" s="80">
        <f>0*100/862097</f>
        <v>0</v>
      </c>
      <c r="D55" s="54">
        <f>2406*100/820070</f>
        <v>0.2933895886936481</v>
      </c>
    </row>
    <row r="56" spans="1:4" ht="12.75" customHeight="1">
      <c r="A56" s="64"/>
      <c r="B56" s="68"/>
      <c r="C56" s="68"/>
      <c r="D56" s="66"/>
    </row>
    <row r="57" spans="1:4" ht="15" customHeight="1">
      <c r="A57" s="64" t="s">
        <v>107</v>
      </c>
      <c r="B57" s="68"/>
      <c r="C57" s="68"/>
      <c r="D57" s="66"/>
    </row>
    <row r="58" spans="1:4" ht="12.75" customHeight="1">
      <c r="A58" s="64"/>
      <c r="B58" s="68"/>
      <c r="C58" s="68"/>
      <c r="D58" s="66"/>
    </row>
    <row r="59" spans="1:4" ht="15" customHeight="1">
      <c r="A59" s="64" t="s">
        <v>106</v>
      </c>
      <c r="B59" s="68">
        <v>134</v>
      </c>
      <c r="C59" s="68">
        <v>122</v>
      </c>
      <c r="D59" s="66">
        <v>243</v>
      </c>
    </row>
    <row r="60" spans="1:4" ht="12.75" customHeight="1" thickBot="1">
      <c r="A60" s="20"/>
      <c r="B60" s="67"/>
      <c r="C60" s="67"/>
      <c r="D60" s="59"/>
    </row>
  </sheetData>
  <mergeCells count="3">
    <mergeCell ref="A1:K1"/>
    <mergeCell ref="A2:H2"/>
    <mergeCell ref="A39:H39"/>
  </mergeCells>
  <printOptions/>
  <pageMargins left="0.17" right="0.17" top="0.82" bottom="0.64" header="0.2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Metalac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rtrifunovic</cp:lastModifiedBy>
  <cp:lastPrinted>2010-02-19T13:08:18Z</cp:lastPrinted>
  <dcterms:created xsi:type="dcterms:W3CDTF">2009-02-24T07:04:59Z</dcterms:created>
  <dcterms:modified xsi:type="dcterms:W3CDTF">2010-03-29T10:02:54Z</dcterms:modified>
  <cp:category/>
  <cp:version/>
  <cp:contentType/>
  <cp:contentStatus/>
</cp:coreProperties>
</file>