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2"/>
  </bookViews>
  <sheets>
    <sheet name="BU VI" sheetId="1" r:id="rId1"/>
    <sheet name="BS VI" sheetId="2" r:id="rId2"/>
    <sheet name="novcani tok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<sst xmlns="http://schemas.openxmlformats.org/spreadsheetml/2006/main" count="213" uniqueCount="107">
  <si>
    <t>u 000 din</t>
  </si>
  <si>
    <t>METALAC a.d.</t>
  </si>
  <si>
    <t>POSUĐE</t>
  </si>
  <si>
    <t>INKO</t>
  </si>
  <si>
    <t>PRINT</t>
  </si>
  <si>
    <t>BOJLER</t>
  </si>
  <si>
    <t>MARKET</t>
  </si>
  <si>
    <t>TRADE</t>
  </si>
  <si>
    <t>METALURGIJA</t>
  </si>
  <si>
    <t>PROLETER</t>
  </si>
  <si>
    <t>METROT</t>
  </si>
  <si>
    <t>MARKET-Podgorica</t>
  </si>
  <si>
    <t>PROMO-METAL</t>
  </si>
  <si>
    <t>u eur</t>
  </si>
  <si>
    <t>Stalna imovina</t>
  </si>
  <si>
    <t>Obrtna imovina</t>
  </si>
  <si>
    <t>Kapital</t>
  </si>
  <si>
    <t>Dugoročne obaveze</t>
  </si>
  <si>
    <t>Nematerijlna ulaganja,nekretnine i oprema</t>
  </si>
  <si>
    <t xml:space="preserve">Učešće u kapitalu                  </t>
  </si>
  <si>
    <t>AKTIVA</t>
  </si>
  <si>
    <t>PASIVA</t>
  </si>
  <si>
    <t>Osnovni kapital</t>
  </si>
  <si>
    <t>Ostali kapital</t>
  </si>
  <si>
    <t>Neraspoređena dobit</t>
  </si>
  <si>
    <t>Gubitak</t>
  </si>
  <si>
    <t>Dugoročna rezervisanja</t>
  </si>
  <si>
    <t>Dugoročni krediti</t>
  </si>
  <si>
    <t>Kratkoročne obaveze</t>
  </si>
  <si>
    <t>Obaveze iz poslovanja (dobavljači)</t>
  </si>
  <si>
    <t>Ostale obaveze</t>
  </si>
  <si>
    <t>Odložne poreske obaveze</t>
  </si>
  <si>
    <t>Rezerve</t>
  </si>
  <si>
    <t>Kratkoročni kreidti</t>
  </si>
  <si>
    <t>Gubitak iznad visine kapitala</t>
  </si>
  <si>
    <t>Ostale dugoročne obaveze (zajmovi)</t>
  </si>
  <si>
    <t>Dugoročni zajmovi ZD</t>
  </si>
  <si>
    <t>Potraživanja (kupci)</t>
  </si>
  <si>
    <t>Kratkoročni zajmovi ZD</t>
  </si>
  <si>
    <t>Krat. fin.plasmani (potrošački zajmovi)</t>
  </si>
  <si>
    <t>Zalihe</t>
  </si>
  <si>
    <t>Ostala potraživanja</t>
  </si>
  <si>
    <t>Gotovina i gotovinski ekvivalent</t>
  </si>
  <si>
    <t>POSLOVNI PRIHODI</t>
  </si>
  <si>
    <t>Prihod od prodaje</t>
  </si>
  <si>
    <t>Prihod od prodaje na domaćem tržištu</t>
  </si>
  <si>
    <t>Prihod od prodaje na ino. tržištu</t>
  </si>
  <si>
    <t>Prihod od aktiviranja učinaka i robe</t>
  </si>
  <si>
    <t>Povećanje vrednosti zaliha učinaka</t>
  </si>
  <si>
    <t>Smanjnje vrednosti zaliha učinaka</t>
  </si>
  <si>
    <t>Ostali poslovni prihodi</t>
  </si>
  <si>
    <t>POSLOVNI RASHODI</t>
  </si>
  <si>
    <t>Nabavna rvrednost prodate robe</t>
  </si>
  <si>
    <t>Troškovi materijala i energije</t>
  </si>
  <si>
    <t>Troškovi zarada i ostali lični rashodi</t>
  </si>
  <si>
    <t>Troškovi amortizacije</t>
  </si>
  <si>
    <t>Ostali poslovni rashodi</t>
  </si>
  <si>
    <t>POSLOVNI DOBITAK / GUBITAK</t>
  </si>
  <si>
    <t>FINANSIJSKI PRIHODI</t>
  </si>
  <si>
    <t>FINANSIJSKI RASHODI</t>
  </si>
  <si>
    <t>OSTALI PRIHODI</t>
  </si>
  <si>
    <t>OSTALI RASHODI</t>
  </si>
  <si>
    <t>FINANSIJSKI DOBITAK / GUBITAK</t>
  </si>
  <si>
    <t>OSTALI DOBITAK / GUBITAK</t>
  </si>
  <si>
    <t xml:space="preserve">DOBITAK / GUBITAK </t>
  </si>
  <si>
    <t>Tokovi gotovine iz poslovnih aktivnosti</t>
  </si>
  <si>
    <t>Prodaja i primljeni avansi</t>
  </si>
  <si>
    <t>Primljene kamate iz poslovnih aktivnosti</t>
  </si>
  <si>
    <t>Ostali prilivi iz redovnog poslovanja</t>
  </si>
  <si>
    <t>Isplate dobavljačima i dati avansi</t>
  </si>
  <si>
    <t>Zarade, naknade zarada i ostali lični rashodi</t>
  </si>
  <si>
    <t>Plaćene kamate</t>
  </si>
  <si>
    <t>Porez na dobitak</t>
  </si>
  <si>
    <t>Plaćanja po osnovu ostalih javnih prihoda</t>
  </si>
  <si>
    <t>Neto priliv/odliv iz poslovnih aktivnosti</t>
  </si>
  <si>
    <t>Tokovi gotovine iz aktivnosti investiranja</t>
  </si>
  <si>
    <t>Prodaja akcija i udela (neto priliv)</t>
  </si>
  <si>
    <t>Prodaja nekretnina, postrojenja i opreme</t>
  </si>
  <si>
    <t>Ostali finansijski plasmani (neto priliv)</t>
  </si>
  <si>
    <t>Primljene kamate</t>
  </si>
  <si>
    <t>Primljene dividende</t>
  </si>
  <si>
    <t>Kupovina akcija i udela (neto odliv)</t>
  </si>
  <si>
    <t>Kupovina nemater. ulaganja, nekretnina i opreme</t>
  </si>
  <si>
    <t>Ostali finansijski plasmnai (neto odliv)</t>
  </si>
  <si>
    <t>Neto priliv/odliv iz aktivnosti investiranja</t>
  </si>
  <si>
    <t>Tokovi gotovine iz aktivnosti finansiranja</t>
  </si>
  <si>
    <t>Dugoročni i kratkoročni krediti (neto priliv/odliv)</t>
  </si>
  <si>
    <t>Isplaćena dividenda i učešća u dobitku</t>
  </si>
  <si>
    <t>Finansijski lizing</t>
  </si>
  <si>
    <t>Neto odliv iz aktivnosti finansiranja</t>
  </si>
  <si>
    <t>Neto priliv/odliv gotovine</t>
  </si>
  <si>
    <t>Gotovina na početku obračunskog perioda</t>
  </si>
  <si>
    <t>Gotovina na kraju obračunskog perioda</t>
  </si>
  <si>
    <t xml:space="preserve"> </t>
  </si>
  <si>
    <t xml:space="preserve">Pozitivne kursne razlike </t>
  </si>
  <si>
    <t>METPOR</t>
  </si>
  <si>
    <t>Pozitivne(negativne) kusne razlike</t>
  </si>
  <si>
    <t>Uvećanje osnovnog kapitala</t>
  </si>
  <si>
    <t>Ostali finansijski plasmnai (neto priliv/odliv)</t>
  </si>
  <si>
    <t>BILANS USPEHA METALAC-GROUP ZA PERIOD JANUAR-JUN 2011.god (domaće)</t>
  </si>
  <si>
    <t>BILANS USPEHA METALAC-GROUP ZA PERIOD JANUAR-JUN 2011.god (ino)</t>
  </si>
  <si>
    <t>BILANS STANJA METALAC-GROUP ZA PERIOD JANUAR-JUN 2011.god (domaće)</t>
  </si>
  <si>
    <t>BILANS STANJA METALAC-GROUP ZA PERIOD JANUAR-JUN 2011.god (ino)</t>
  </si>
  <si>
    <t>IZVEŠTAJ O TOKOVIMA GOTOVINE METALAC GROUP ZA PERIOD JANUAR-JUN 2011.god.(domaće)</t>
  </si>
  <si>
    <t>IZVEŠTAJ O TOKOVIMA GOTOVINE METALAC GROUP ZA PERIOD JANUAR-JUN 2011.god.(ino)</t>
  </si>
  <si>
    <t>GENERALNI DIREKTOR</t>
  </si>
  <si>
    <t>Petrašin Jakovljević, dipl .ing.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</si>
</sst>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;[Red]#,##0"/>
    <numFmt numFmtId="176" formatCode="#,##0;[Black]\(#,##0\)"/>
  </numFmts>
  <fonts count="43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top" wrapText="1"/>
    </xf>
    <xf numFmtId="176" fontId="4" fillId="0" borderId="10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7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176" fontId="3" fillId="0" borderId="18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6" fontId="4" fillId="0" borderId="13" xfId="0" applyNumberFormat="1" applyFont="1" applyBorder="1" applyAlignment="1">
      <alignment horizontal="right" vertical="center" wrapText="1"/>
    </xf>
    <xf numFmtId="176" fontId="3" fillId="0" borderId="22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3" fontId="4" fillId="0" borderId="10" xfId="0" applyNumberFormat="1" applyFont="1" applyBorder="1" applyAlignment="1">
      <alignment vertical="center" wrapText="1"/>
    </xf>
    <xf numFmtId="176" fontId="3" fillId="0" borderId="23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I49" sqref="I49"/>
    </sheetView>
  </sheetViews>
  <sheetFormatPr defaultColWidth="9.140625" defaultRowHeight="12.75"/>
  <cols>
    <col min="1" max="1" width="34.00390625" style="39" customWidth="1"/>
    <col min="2" max="2" width="10.8515625" style="39" customWidth="1"/>
    <col min="3" max="3" width="8.8515625" style="39" customWidth="1"/>
    <col min="4" max="4" width="8.28125" style="39" customWidth="1"/>
    <col min="5" max="5" width="9.57421875" style="39" customWidth="1"/>
    <col min="6" max="6" width="9.28125" style="39" customWidth="1"/>
    <col min="7" max="7" width="9.57421875" style="39" customWidth="1"/>
    <col min="8" max="8" width="9.00390625" style="39" customWidth="1"/>
    <col min="9" max="9" width="9.5742187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9" ht="14.25" customHeight="1">
      <c r="A1" s="56" t="s">
        <v>99</v>
      </c>
      <c r="B1" s="56"/>
      <c r="C1" s="56"/>
      <c r="D1" s="56"/>
      <c r="E1" s="56"/>
      <c r="F1" s="56"/>
      <c r="G1" s="56"/>
      <c r="H1" s="56"/>
      <c r="I1" s="48"/>
    </row>
    <row r="2" spans="1:9" ht="14.25" customHeight="1">
      <c r="A2" s="57"/>
      <c r="B2" s="57"/>
      <c r="C2" s="57"/>
      <c r="D2" s="57"/>
      <c r="E2" s="57"/>
      <c r="F2" s="57"/>
      <c r="G2" s="57"/>
      <c r="H2" s="57"/>
      <c r="I2" s="49"/>
    </row>
    <row r="3" spans="1:11" ht="16.5" customHeight="1" thickBot="1">
      <c r="A3" s="1"/>
      <c r="B3" s="1"/>
      <c r="C3" s="40"/>
      <c r="D3" s="25"/>
      <c r="E3" s="25"/>
      <c r="F3" s="25"/>
      <c r="G3" s="41"/>
      <c r="H3" s="41"/>
      <c r="I3" s="41"/>
      <c r="K3" s="44" t="s">
        <v>0</v>
      </c>
    </row>
    <row r="4" spans="1:11" ht="16.5" customHeight="1">
      <c r="A4" s="10"/>
      <c r="B4" s="52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3" t="s">
        <v>7</v>
      </c>
      <c r="I4" s="53" t="s">
        <v>95</v>
      </c>
      <c r="J4" s="53" t="s">
        <v>8</v>
      </c>
      <c r="K4" s="54" t="s">
        <v>9</v>
      </c>
    </row>
    <row r="5" spans="1:11" ht="12.75" customHeight="1">
      <c r="A5" s="11" t="s">
        <v>43</v>
      </c>
      <c r="B5" s="5">
        <f>B7+B11+B12+B13+B14</f>
        <v>323495</v>
      </c>
      <c r="C5" s="5">
        <f>C7+C11+C12+C13+C14</f>
        <v>1167308</v>
      </c>
      <c r="D5" s="5">
        <f>D7+D11+D12+D13+D14</f>
        <v>86468</v>
      </c>
      <c r="E5" s="5">
        <f>E7+E11+E12+E13+E14</f>
        <v>147862</v>
      </c>
      <c r="F5" s="5">
        <f aca="true" t="shared" si="0" ref="F5:K5">SUM(F11:F14)+F7</f>
        <v>165564</v>
      </c>
      <c r="G5" s="5">
        <f t="shared" si="0"/>
        <v>300943</v>
      </c>
      <c r="H5" s="5">
        <f t="shared" si="0"/>
        <v>137602</v>
      </c>
      <c r="I5" s="5">
        <f t="shared" si="0"/>
        <v>20993</v>
      </c>
      <c r="J5" s="5">
        <f t="shared" si="0"/>
        <v>308042</v>
      </c>
      <c r="K5" s="12">
        <f t="shared" si="0"/>
        <v>294599</v>
      </c>
    </row>
    <row r="6" spans="1:11" ht="12.7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14"/>
    </row>
    <row r="7" spans="1:11" ht="12.75" customHeight="1">
      <c r="A7" s="11" t="s">
        <v>44</v>
      </c>
      <c r="B7" s="4">
        <f aca="true" t="shared" si="1" ref="B7:K7">SUM(B8:B9)</f>
        <v>163377</v>
      </c>
      <c r="C7" s="4">
        <f t="shared" si="1"/>
        <v>986653</v>
      </c>
      <c r="D7" s="4">
        <f t="shared" si="1"/>
        <v>69980</v>
      </c>
      <c r="E7" s="4">
        <f t="shared" si="1"/>
        <v>143648</v>
      </c>
      <c r="F7" s="4">
        <f t="shared" si="1"/>
        <v>161337</v>
      </c>
      <c r="G7" s="4">
        <f t="shared" si="1"/>
        <v>299271</v>
      </c>
      <c r="H7" s="4">
        <f t="shared" si="1"/>
        <v>137548</v>
      </c>
      <c r="I7" s="4">
        <f t="shared" si="1"/>
        <v>19957</v>
      </c>
      <c r="J7" s="4">
        <f t="shared" si="1"/>
        <v>298702</v>
      </c>
      <c r="K7" s="15">
        <f t="shared" si="1"/>
        <v>275182</v>
      </c>
    </row>
    <row r="8" spans="1:11" ht="12.75" customHeight="1">
      <c r="A8" s="13" t="s">
        <v>45</v>
      </c>
      <c r="B8" s="3">
        <v>116564</v>
      </c>
      <c r="C8" s="3">
        <v>376093</v>
      </c>
      <c r="D8" s="3">
        <v>33474</v>
      </c>
      <c r="E8" s="3">
        <v>141513</v>
      </c>
      <c r="F8" s="3">
        <v>114967</v>
      </c>
      <c r="G8" s="3">
        <v>299271</v>
      </c>
      <c r="H8" s="3">
        <v>104073</v>
      </c>
      <c r="I8" s="3">
        <f>15082+4644</f>
        <v>19726</v>
      </c>
      <c r="J8" s="3">
        <v>298702</v>
      </c>
      <c r="K8" s="14">
        <v>275182</v>
      </c>
    </row>
    <row r="9" spans="1:11" ht="12.75" customHeight="1">
      <c r="A9" s="13" t="s">
        <v>46</v>
      </c>
      <c r="B9" s="3">
        <v>46813</v>
      </c>
      <c r="C9" s="3">
        <v>610560</v>
      </c>
      <c r="D9" s="3">
        <v>36506</v>
      </c>
      <c r="E9" s="3">
        <v>2135</v>
      </c>
      <c r="F9" s="3">
        <v>46370</v>
      </c>
      <c r="G9" s="3">
        <v>0</v>
      </c>
      <c r="H9" s="3">
        <v>33475</v>
      </c>
      <c r="I9" s="3">
        <v>231</v>
      </c>
      <c r="J9" s="3">
        <v>0</v>
      </c>
      <c r="K9" s="14">
        <v>0</v>
      </c>
    </row>
    <row r="10" spans="1:11" ht="12.75" customHeight="1">
      <c r="A10" s="13"/>
      <c r="B10" s="3"/>
      <c r="C10" s="3"/>
      <c r="D10" s="3"/>
      <c r="E10" s="3"/>
      <c r="F10" s="3"/>
      <c r="G10" s="3"/>
      <c r="H10" s="3"/>
      <c r="I10" s="3"/>
      <c r="J10" s="3"/>
      <c r="K10" s="14"/>
    </row>
    <row r="11" spans="1:11" ht="12.75" customHeight="1">
      <c r="A11" s="13" t="s">
        <v>47</v>
      </c>
      <c r="B11" s="3">
        <v>9065</v>
      </c>
      <c r="C11" s="3">
        <v>4326</v>
      </c>
      <c r="D11" s="3">
        <v>0</v>
      </c>
      <c r="E11" s="24">
        <v>0</v>
      </c>
      <c r="F11" s="3">
        <v>138</v>
      </c>
      <c r="G11" s="3">
        <v>11</v>
      </c>
      <c r="H11" s="3">
        <v>0</v>
      </c>
      <c r="I11" s="3">
        <v>0</v>
      </c>
      <c r="J11" s="3">
        <v>238</v>
      </c>
      <c r="K11" s="14">
        <v>563</v>
      </c>
    </row>
    <row r="12" spans="1:11" ht="12.75" customHeight="1">
      <c r="A12" s="13" t="s">
        <v>48</v>
      </c>
      <c r="B12" s="3">
        <v>0</v>
      </c>
      <c r="C12" s="3">
        <v>147372</v>
      </c>
      <c r="D12" s="3">
        <v>16377</v>
      </c>
      <c r="E12" s="3">
        <v>2751</v>
      </c>
      <c r="F12" s="24">
        <v>2603</v>
      </c>
      <c r="G12" s="3">
        <v>0</v>
      </c>
      <c r="H12" s="3">
        <v>0</v>
      </c>
      <c r="I12" s="3">
        <v>198</v>
      </c>
      <c r="J12" s="3">
        <v>0</v>
      </c>
      <c r="K12" s="14">
        <v>0</v>
      </c>
    </row>
    <row r="13" spans="1:11" ht="12.75" customHeight="1">
      <c r="A13" s="13" t="s">
        <v>49</v>
      </c>
      <c r="B13" s="3">
        <v>0</v>
      </c>
      <c r="C13" s="24">
        <v>0</v>
      </c>
      <c r="D13" s="24"/>
      <c r="E13" s="24">
        <v>0</v>
      </c>
      <c r="F13" s="24">
        <v>0</v>
      </c>
      <c r="G13" s="3">
        <v>0</v>
      </c>
      <c r="H13" s="3">
        <v>0</v>
      </c>
      <c r="I13" s="3">
        <v>0</v>
      </c>
      <c r="J13" s="3">
        <v>0</v>
      </c>
      <c r="K13" s="14">
        <v>0</v>
      </c>
    </row>
    <row r="14" spans="1:11" ht="12.75" customHeight="1">
      <c r="A14" s="13" t="s">
        <v>50</v>
      </c>
      <c r="B14" s="3">
        <v>151053</v>
      </c>
      <c r="C14" s="3">
        <v>28957</v>
      </c>
      <c r="D14" s="3">
        <v>111</v>
      </c>
      <c r="E14" s="3">
        <v>1463</v>
      </c>
      <c r="F14" s="3">
        <v>1486</v>
      </c>
      <c r="G14" s="3">
        <v>1661</v>
      </c>
      <c r="H14" s="3">
        <v>54</v>
      </c>
      <c r="I14" s="3">
        <v>838</v>
      </c>
      <c r="J14" s="3">
        <v>9102</v>
      </c>
      <c r="K14" s="14">
        <v>18854</v>
      </c>
    </row>
    <row r="15" spans="1:11" ht="12.75" customHeight="1">
      <c r="A15" s="13"/>
      <c r="B15" s="3"/>
      <c r="C15" s="3"/>
      <c r="D15" s="3"/>
      <c r="E15" s="3"/>
      <c r="F15" s="3"/>
      <c r="G15" s="4"/>
      <c r="H15" s="4"/>
      <c r="I15" s="4"/>
      <c r="J15" s="4"/>
      <c r="K15" s="15"/>
    </row>
    <row r="16" spans="1:11" ht="12.75" customHeight="1">
      <c r="A16" s="11" t="s">
        <v>51</v>
      </c>
      <c r="B16" s="4">
        <f aca="true" t="shared" si="2" ref="B16:K16">SUM(B18:B22)</f>
        <v>296863</v>
      </c>
      <c r="C16" s="4">
        <f t="shared" si="2"/>
        <v>987242</v>
      </c>
      <c r="D16" s="4">
        <f t="shared" si="2"/>
        <v>90560</v>
      </c>
      <c r="E16" s="4">
        <f t="shared" si="2"/>
        <v>135066</v>
      </c>
      <c r="F16" s="4">
        <f t="shared" si="2"/>
        <v>160795</v>
      </c>
      <c r="G16" s="4">
        <f t="shared" si="2"/>
        <v>324198</v>
      </c>
      <c r="H16" s="4">
        <f t="shared" si="2"/>
        <v>106641</v>
      </c>
      <c r="I16" s="4">
        <f t="shared" si="2"/>
        <v>19317</v>
      </c>
      <c r="J16" s="4">
        <f t="shared" si="2"/>
        <v>304847</v>
      </c>
      <c r="K16" s="15">
        <f t="shared" si="2"/>
        <v>298032</v>
      </c>
    </row>
    <row r="17" spans="1:11" ht="12.7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14"/>
    </row>
    <row r="18" spans="1:11" ht="12.75" customHeight="1">
      <c r="A18" s="13" t="s">
        <v>52</v>
      </c>
      <c r="B18" s="3">
        <v>2424</v>
      </c>
      <c r="C18" s="3">
        <v>14322</v>
      </c>
      <c r="D18" s="3">
        <v>1516</v>
      </c>
      <c r="E18" s="3">
        <v>9227</v>
      </c>
      <c r="F18" s="3">
        <v>389</v>
      </c>
      <c r="G18" s="3">
        <v>236710</v>
      </c>
      <c r="H18" s="3">
        <v>78768</v>
      </c>
      <c r="I18" s="3">
        <v>11650</v>
      </c>
      <c r="J18" s="3">
        <v>246453</v>
      </c>
      <c r="K18" s="14">
        <v>231794</v>
      </c>
    </row>
    <row r="19" spans="1:11" ht="12.75" customHeight="1">
      <c r="A19" s="13" t="s">
        <v>53</v>
      </c>
      <c r="B19" s="3">
        <v>102412</v>
      </c>
      <c r="C19" s="3">
        <v>581358</v>
      </c>
      <c r="D19" s="3">
        <v>51044</v>
      </c>
      <c r="E19" s="3">
        <v>81724</v>
      </c>
      <c r="F19" s="3">
        <v>101789</v>
      </c>
      <c r="G19" s="3">
        <v>3143</v>
      </c>
      <c r="H19" s="3">
        <v>1321</v>
      </c>
      <c r="I19" s="3">
        <v>547</v>
      </c>
      <c r="J19" s="3">
        <v>5930</v>
      </c>
      <c r="K19" s="14">
        <v>10142</v>
      </c>
    </row>
    <row r="20" spans="1:11" ht="12.75" customHeight="1">
      <c r="A20" s="13" t="s">
        <v>54</v>
      </c>
      <c r="B20" s="3">
        <v>76825</v>
      </c>
      <c r="C20" s="3">
        <v>203359</v>
      </c>
      <c r="D20" s="3">
        <v>13165</v>
      </c>
      <c r="E20" s="3">
        <v>23051</v>
      </c>
      <c r="F20" s="3">
        <v>20384</v>
      </c>
      <c r="G20" s="3">
        <v>40444</v>
      </c>
      <c r="H20" s="3">
        <v>9360</v>
      </c>
      <c r="I20" s="3">
        <v>5307</v>
      </c>
      <c r="J20" s="3">
        <v>33941</v>
      </c>
      <c r="K20" s="14">
        <v>38523</v>
      </c>
    </row>
    <row r="21" spans="1:11" ht="12.75" customHeight="1">
      <c r="A21" s="13" t="s">
        <v>55</v>
      </c>
      <c r="B21" s="3">
        <v>59802</v>
      </c>
      <c r="C21" s="3">
        <v>10417</v>
      </c>
      <c r="D21" s="3">
        <v>6534</v>
      </c>
      <c r="E21" s="3">
        <v>268</v>
      </c>
      <c r="F21" s="3">
        <v>8051</v>
      </c>
      <c r="G21" s="3">
        <v>707</v>
      </c>
      <c r="H21" s="3">
        <v>488</v>
      </c>
      <c r="I21" s="3">
        <v>224</v>
      </c>
      <c r="J21" s="3">
        <v>5160</v>
      </c>
      <c r="K21" s="14">
        <v>6424</v>
      </c>
    </row>
    <row r="22" spans="1:11" ht="12.75" customHeight="1">
      <c r="A22" s="13" t="s">
        <v>56</v>
      </c>
      <c r="B22" s="3">
        <v>55400</v>
      </c>
      <c r="C22" s="3">
        <v>177786</v>
      </c>
      <c r="D22" s="3">
        <v>18301</v>
      </c>
      <c r="E22" s="3">
        <v>20796</v>
      </c>
      <c r="F22" s="3">
        <v>30182</v>
      </c>
      <c r="G22" s="3">
        <v>43194</v>
      </c>
      <c r="H22" s="3">
        <v>16704</v>
      </c>
      <c r="I22" s="3">
        <v>1589</v>
      </c>
      <c r="J22" s="3">
        <v>13363</v>
      </c>
      <c r="K22" s="14">
        <v>11149</v>
      </c>
    </row>
    <row r="23" spans="1:11" ht="12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14"/>
    </row>
    <row r="24" spans="1:11" ht="12.75" customHeight="1">
      <c r="A24" s="11" t="s">
        <v>57</v>
      </c>
      <c r="B24" s="4">
        <f aca="true" t="shared" si="3" ref="B24:K24">SUM(B5-B16)</f>
        <v>26632</v>
      </c>
      <c r="C24" s="4">
        <f t="shared" si="3"/>
        <v>180066</v>
      </c>
      <c r="D24" s="26">
        <f t="shared" si="3"/>
        <v>-4092</v>
      </c>
      <c r="E24" s="26">
        <f t="shared" si="3"/>
        <v>12796</v>
      </c>
      <c r="F24" s="26">
        <f t="shared" si="3"/>
        <v>4769</v>
      </c>
      <c r="G24" s="26">
        <f t="shared" si="3"/>
        <v>-23255</v>
      </c>
      <c r="H24" s="26">
        <f t="shared" si="3"/>
        <v>30961</v>
      </c>
      <c r="I24" s="26">
        <f t="shared" si="3"/>
        <v>1676</v>
      </c>
      <c r="J24" s="26">
        <f t="shared" si="3"/>
        <v>3195</v>
      </c>
      <c r="K24" s="30">
        <f t="shared" si="3"/>
        <v>-3433</v>
      </c>
    </row>
    <row r="25" spans="1:11" ht="12.75" customHeight="1">
      <c r="A25" s="18"/>
      <c r="B25" s="3"/>
      <c r="C25" s="3"/>
      <c r="D25" s="3"/>
      <c r="E25" s="3"/>
      <c r="F25" s="3"/>
      <c r="G25" s="3"/>
      <c r="H25" s="3"/>
      <c r="I25" s="3"/>
      <c r="J25" s="3"/>
      <c r="K25" s="14"/>
    </row>
    <row r="26" spans="1:11" ht="12.75" customHeight="1">
      <c r="A26" s="23" t="s">
        <v>58</v>
      </c>
      <c r="B26" s="4">
        <v>137120</v>
      </c>
      <c r="C26" s="4">
        <v>41806</v>
      </c>
      <c r="D26" s="26">
        <v>1664</v>
      </c>
      <c r="E26" s="4">
        <v>651</v>
      </c>
      <c r="F26" s="4">
        <v>978</v>
      </c>
      <c r="G26" s="4">
        <v>19606</v>
      </c>
      <c r="H26" s="4">
        <v>623</v>
      </c>
      <c r="I26" s="4">
        <v>25</v>
      </c>
      <c r="J26" s="4">
        <v>3948</v>
      </c>
      <c r="K26" s="15">
        <v>585</v>
      </c>
    </row>
    <row r="27" spans="1:11" ht="12.75" customHeight="1">
      <c r="A27" s="17"/>
      <c r="B27" s="3"/>
      <c r="C27" s="3"/>
      <c r="D27" s="3"/>
      <c r="E27" s="3"/>
      <c r="F27" s="3"/>
      <c r="G27" s="3"/>
      <c r="H27" s="3"/>
      <c r="I27" s="3"/>
      <c r="J27" s="3"/>
      <c r="K27" s="14"/>
    </row>
    <row r="28" spans="1:11" ht="12.75" customHeight="1">
      <c r="A28" s="11" t="s">
        <v>59</v>
      </c>
      <c r="B28" s="4">
        <v>7605</v>
      </c>
      <c r="C28" s="4">
        <v>93177</v>
      </c>
      <c r="D28" s="4">
        <v>6719</v>
      </c>
      <c r="E28" s="4">
        <v>2192</v>
      </c>
      <c r="F28" s="4">
        <v>9262</v>
      </c>
      <c r="G28" s="4">
        <v>5047</v>
      </c>
      <c r="H28" s="4">
        <v>7400</v>
      </c>
      <c r="I28" s="4">
        <v>1158</v>
      </c>
      <c r="J28" s="4">
        <v>5445</v>
      </c>
      <c r="K28" s="15">
        <v>3855</v>
      </c>
    </row>
    <row r="29" spans="1:11" ht="12.75" customHeight="1">
      <c r="A29" s="11"/>
      <c r="B29" s="4"/>
      <c r="C29" s="4"/>
      <c r="D29" s="4"/>
      <c r="E29" s="4"/>
      <c r="F29" s="4"/>
      <c r="G29" s="4"/>
      <c r="H29" s="4"/>
      <c r="I29" s="4"/>
      <c r="J29" s="4"/>
      <c r="K29" s="15"/>
    </row>
    <row r="30" spans="1:11" ht="12.75" customHeight="1">
      <c r="A30" s="11" t="s">
        <v>62</v>
      </c>
      <c r="B30" s="26">
        <f>SUM(B26-B28)</f>
        <v>129515</v>
      </c>
      <c r="C30" s="26">
        <f>SUM(C26-C28)</f>
        <v>-51371</v>
      </c>
      <c r="D30" s="26">
        <f aca="true" t="shared" si="4" ref="D30:K30">SUM(D26-D28)</f>
        <v>-5055</v>
      </c>
      <c r="E30" s="26">
        <f t="shared" si="4"/>
        <v>-1541</v>
      </c>
      <c r="F30" s="26">
        <f t="shared" si="4"/>
        <v>-8284</v>
      </c>
      <c r="G30" s="26">
        <f t="shared" si="4"/>
        <v>14559</v>
      </c>
      <c r="H30" s="26">
        <f t="shared" si="4"/>
        <v>-6777</v>
      </c>
      <c r="I30" s="26">
        <f t="shared" si="4"/>
        <v>-1133</v>
      </c>
      <c r="J30" s="26">
        <f t="shared" si="4"/>
        <v>-1497</v>
      </c>
      <c r="K30" s="30">
        <f t="shared" si="4"/>
        <v>-3270</v>
      </c>
    </row>
    <row r="31" spans="1:11" ht="12.7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14"/>
    </row>
    <row r="32" spans="1:11" ht="12.75" customHeight="1">
      <c r="A32" s="11" t="s">
        <v>60</v>
      </c>
      <c r="B32" s="4">
        <v>675</v>
      </c>
      <c r="C32" s="4">
        <v>0</v>
      </c>
      <c r="D32" s="4">
        <v>0</v>
      </c>
      <c r="E32" s="4">
        <v>0</v>
      </c>
      <c r="F32" s="4">
        <v>100</v>
      </c>
      <c r="G32" s="4">
        <v>3437</v>
      </c>
      <c r="H32" s="4">
        <v>28</v>
      </c>
      <c r="I32" s="4">
        <v>0</v>
      </c>
      <c r="J32" s="4">
        <v>2146</v>
      </c>
      <c r="K32" s="15">
        <v>2615</v>
      </c>
    </row>
    <row r="33" spans="1:11" ht="12.75" customHeight="1">
      <c r="A33" s="11"/>
      <c r="B33" s="4"/>
      <c r="C33" s="4"/>
      <c r="D33" s="4"/>
      <c r="E33" s="4"/>
      <c r="F33" s="4"/>
      <c r="G33" s="4"/>
      <c r="H33" s="4"/>
      <c r="I33" s="4"/>
      <c r="J33" s="4"/>
      <c r="K33" s="15"/>
    </row>
    <row r="34" spans="1:11" ht="12.75" customHeight="1">
      <c r="A34" s="11" t="s">
        <v>61</v>
      </c>
      <c r="B34" s="4">
        <v>731</v>
      </c>
      <c r="C34" s="4">
        <v>11543</v>
      </c>
      <c r="D34" s="4">
        <v>520</v>
      </c>
      <c r="E34" s="4">
        <v>665</v>
      </c>
      <c r="F34" s="4">
        <v>270</v>
      </c>
      <c r="G34" s="4">
        <v>1575</v>
      </c>
      <c r="H34" s="4">
        <v>3619</v>
      </c>
      <c r="I34" s="4">
        <v>17</v>
      </c>
      <c r="J34" s="4">
        <v>1336</v>
      </c>
      <c r="K34" s="15">
        <v>1785</v>
      </c>
    </row>
    <row r="35" spans="1:11" ht="12.75" customHeight="1">
      <c r="A35" s="11"/>
      <c r="B35" s="4"/>
      <c r="C35" s="4"/>
      <c r="D35" s="4"/>
      <c r="E35" s="4"/>
      <c r="F35" s="4"/>
      <c r="G35" s="4"/>
      <c r="H35" s="4"/>
      <c r="I35" s="4"/>
      <c r="J35" s="4"/>
      <c r="K35" s="15"/>
    </row>
    <row r="36" spans="1:11" ht="12.75" customHeight="1">
      <c r="A36" s="11" t="s">
        <v>63</v>
      </c>
      <c r="B36" s="26">
        <f>B32-B34</f>
        <v>-56</v>
      </c>
      <c r="C36" s="26">
        <f>C32-C34</f>
        <v>-11543</v>
      </c>
      <c r="D36" s="26">
        <f aca="true" t="shared" si="5" ref="D36:K36">D32-D34</f>
        <v>-520</v>
      </c>
      <c r="E36" s="26">
        <f t="shared" si="5"/>
        <v>-665</v>
      </c>
      <c r="F36" s="26">
        <f t="shared" si="5"/>
        <v>-170</v>
      </c>
      <c r="G36" s="26">
        <f t="shared" si="5"/>
        <v>1862</v>
      </c>
      <c r="H36" s="26">
        <f t="shared" si="5"/>
        <v>-3591</v>
      </c>
      <c r="I36" s="26">
        <f t="shared" si="5"/>
        <v>-17</v>
      </c>
      <c r="J36" s="26">
        <f t="shared" si="5"/>
        <v>810</v>
      </c>
      <c r="K36" s="30">
        <f t="shared" si="5"/>
        <v>830</v>
      </c>
    </row>
    <row r="37" spans="1:11" ht="12.7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14"/>
    </row>
    <row r="38" spans="1:11" ht="12.75" customHeight="1" thickBot="1">
      <c r="A38" s="20" t="s">
        <v>64</v>
      </c>
      <c r="B38" s="21">
        <f>SUM(B24+B26+B32-B28-B34)</f>
        <v>156091</v>
      </c>
      <c r="C38" s="21">
        <f>SUM(C24+C26+C32-C28-C34)</f>
        <v>117152</v>
      </c>
      <c r="D38" s="27">
        <f aca="true" t="shared" si="6" ref="D38:K38">SUM(D24+D26+D32-D28-D34)</f>
        <v>-9667</v>
      </c>
      <c r="E38" s="27">
        <f t="shared" si="6"/>
        <v>10590</v>
      </c>
      <c r="F38" s="27">
        <f t="shared" si="6"/>
        <v>-3685</v>
      </c>
      <c r="G38" s="27">
        <f t="shared" si="6"/>
        <v>-6834</v>
      </c>
      <c r="H38" s="27">
        <f t="shared" si="6"/>
        <v>20593</v>
      </c>
      <c r="I38" s="27">
        <f t="shared" si="6"/>
        <v>526</v>
      </c>
      <c r="J38" s="27">
        <f t="shared" si="6"/>
        <v>2508</v>
      </c>
      <c r="K38" s="31">
        <f t="shared" si="6"/>
        <v>-5873</v>
      </c>
    </row>
    <row r="39" spans="1:9" ht="16.5" customHeight="1">
      <c r="A39" s="56" t="s">
        <v>100</v>
      </c>
      <c r="B39" s="56"/>
      <c r="C39" s="56"/>
      <c r="D39" s="56"/>
      <c r="E39" s="56"/>
      <c r="F39" s="56"/>
      <c r="G39" s="56"/>
      <c r="H39" s="56"/>
      <c r="I39" s="48"/>
    </row>
    <row r="40" spans="1:5" ht="15.75" thickBot="1">
      <c r="A40" s="1"/>
      <c r="B40" s="1"/>
      <c r="C40" s="40"/>
      <c r="D40" s="32" t="s">
        <v>13</v>
      </c>
      <c r="E40" s="2"/>
    </row>
    <row r="41" spans="1:5" ht="21">
      <c r="A41" s="10"/>
      <c r="B41" s="55" t="s">
        <v>10</v>
      </c>
      <c r="C41" s="53" t="s">
        <v>11</v>
      </c>
      <c r="D41" s="54" t="s">
        <v>12</v>
      </c>
      <c r="E41" s="6"/>
    </row>
    <row r="42" spans="1:7" ht="12.75" customHeight="1">
      <c r="A42" s="11" t="s">
        <v>43</v>
      </c>
      <c r="B42" s="5">
        <f>SUM(B44+B48+B49+B51)</f>
        <v>2696801</v>
      </c>
      <c r="C42" s="5">
        <f>SUM(C44+C48+C49+C51)</f>
        <v>792634</v>
      </c>
      <c r="D42" s="12">
        <f>SUM(D44+D48+D49+D51)</f>
        <v>430668</v>
      </c>
      <c r="E42" s="7"/>
      <c r="G42" s="43"/>
    </row>
    <row r="43" spans="1:5" ht="12.75" customHeight="1">
      <c r="A43" s="13"/>
      <c r="B43" s="3"/>
      <c r="C43" s="3"/>
      <c r="D43" s="14"/>
      <c r="E43" s="8"/>
    </row>
    <row r="44" spans="1:5" ht="12.75" customHeight="1">
      <c r="A44" s="11" t="s">
        <v>44</v>
      </c>
      <c r="B44" s="4">
        <f>SUM(B45:B46)</f>
        <v>2642184</v>
      </c>
      <c r="C44" s="4">
        <f>SUM(C45:C46)</f>
        <v>792634</v>
      </c>
      <c r="D44" s="15">
        <f>SUM(D45:D46)</f>
        <v>430668</v>
      </c>
      <c r="E44" s="8"/>
    </row>
    <row r="45" spans="1:5" ht="12.75" customHeight="1">
      <c r="A45" s="13" t="s">
        <v>45</v>
      </c>
      <c r="B45" s="3">
        <v>2448000</v>
      </c>
      <c r="C45" s="3">
        <v>792634</v>
      </c>
      <c r="D45" s="14">
        <v>430668</v>
      </c>
      <c r="E45" s="8"/>
    </row>
    <row r="46" spans="1:5" ht="12.75" customHeight="1">
      <c r="A46" s="13" t="s">
        <v>46</v>
      </c>
      <c r="B46" s="3">
        <v>194184</v>
      </c>
      <c r="C46" s="3">
        <v>0</v>
      </c>
      <c r="D46" s="14">
        <v>0</v>
      </c>
      <c r="E46" s="8"/>
    </row>
    <row r="47" spans="1:5" ht="12.75" customHeight="1">
      <c r="A47" s="13"/>
      <c r="B47" s="3"/>
      <c r="C47" s="3"/>
      <c r="D47" s="14"/>
      <c r="E47" s="8"/>
    </row>
    <row r="48" spans="1:5" ht="12.75" customHeight="1">
      <c r="A48" s="13" t="s">
        <v>47</v>
      </c>
      <c r="B48" s="3">
        <v>0</v>
      </c>
      <c r="C48" s="3">
        <v>0</v>
      </c>
      <c r="D48" s="14">
        <v>0</v>
      </c>
      <c r="E48" s="8"/>
    </row>
    <row r="49" spans="1:5" ht="12.75" customHeight="1">
      <c r="A49" s="13" t="s">
        <v>48</v>
      </c>
      <c r="B49" s="3">
        <v>0</v>
      </c>
      <c r="C49" s="3">
        <v>0</v>
      </c>
      <c r="D49" s="14">
        <v>0</v>
      </c>
      <c r="E49" s="8"/>
    </row>
    <row r="50" spans="1:5" ht="12.75" customHeight="1">
      <c r="A50" s="13" t="s">
        <v>49</v>
      </c>
      <c r="B50" s="3">
        <v>0</v>
      </c>
      <c r="C50" s="3">
        <v>0</v>
      </c>
      <c r="D50" s="14">
        <v>0</v>
      </c>
      <c r="E50" s="8"/>
    </row>
    <row r="51" spans="1:5" ht="12.75" customHeight="1">
      <c r="A51" s="13" t="s">
        <v>50</v>
      </c>
      <c r="B51" s="3">
        <v>54617</v>
      </c>
      <c r="C51" s="3">
        <v>0</v>
      </c>
      <c r="D51" s="14">
        <v>0</v>
      </c>
      <c r="E51" s="9"/>
    </row>
    <row r="52" spans="1:5" ht="12.75" customHeight="1">
      <c r="A52" s="13"/>
      <c r="B52" s="3"/>
      <c r="C52" s="3"/>
      <c r="D52" s="14"/>
      <c r="E52" s="8"/>
    </row>
    <row r="53" spans="1:5" ht="12.75" customHeight="1">
      <c r="A53" s="11" t="s">
        <v>51</v>
      </c>
      <c r="B53" s="4">
        <f>SUM(B55:B59)</f>
        <v>2452048</v>
      </c>
      <c r="C53" s="4">
        <f>SUM(C55:C59)</f>
        <v>786039</v>
      </c>
      <c r="D53" s="15">
        <f>SUM(D55:D59)</f>
        <v>389967</v>
      </c>
      <c r="E53" s="8"/>
    </row>
    <row r="54" spans="1:5" ht="12.75" customHeight="1">
      <c r="A54" s="13"/>
      <c r="B54" s="3"/>
      <c r="C54" s="3"/>
      <c r="D54" s="14"/>
      <c r="E54" s="8"/>
    </row>
    <row r="55" spans="1:5" ht="12.75" customHeight="1">
      <c r="A55" s="13" t="s">
        <v>52</v>
      </c>
      <c r="B55" s="3">
        <v>1836652</v>
      </c>
      <c r="C55" s="3">
        <v>629924</v>
      </c>
      <c r="D55" s="14">
        <v>284294</v>
      </c>
      <c r="E55" s="8"/>
    </row>
    <row r="56" spans="1:5" ht="12.75" customHeight="1">
      <c r="A56" s="13" t="s">
        <v>53</v>
      </c>
      <c r="B56" s="3">
        <v>65021</v>
      </c>
      <c r="C56" s="3">
        <v>0</v>
      </c>
      <c r="D56" s="14">
        <v>3333</v>
      </c>
      <c r="E56" s="8"/>
    </row>
    <row r="57" spans="1:5" ht="12.75" customHeight="1">
      <c r="A57" s="13" t="s">
        <v>54</v>
      </c>
      <c r="B57" s="3">
        <f>289653+20790</f>
        <v>310443</v>
      </c>
      <c r="C57" s="3">
        <v>84277</v>
      </c>
      <c r="D57" s="14">
        <v>52481</v>
      </c>
      <c r="E57" s="8"/>
    </row>
    <row r="58" spans="1:5" ht="12.75" customHeight="1">
      <c r="A58" s="13" t="s">
        <v>55</v>
      </c>
      <c r="B58" s="3">
        <v>11333</v>
      </c>
      <c r="C58" s="3">
        <v>3397</v>
      </c>
      <c r="D58" s="14">
        <v>3655</v>
      </c>
      <c r="E58" s="8"/>
    </row>
    <row r="59" spans="1:5" ht="12.75" customHeight="1">
      <c r="A59" s="13" t="s">
        <v>56</v>
      </c>
      <c r="B59" s="3">
        <f>148683+79916</f>
        <v>228599</v>
      </c>
      <c r="C59" s="3">
        <f>28063+40378</f>
        <v>68441</v>
      </c>
      <c r="D59" s="14">
        <f>23294+19913+2997</f>
        <v>46204</v>
      </c>
      <c r="E59" s="8"/>
    </row>
    <row r="60" spans="1:5" ht="12.75" customHeight="1">
      <c r="A60" s="13"/>
      <c r="B60" s="3"/>
      <c r="C60" s="3"/>
      <c r="D60" s="14"/>
      <c r="E60" s="8"/>
    </row>
    <row r="61" spans="1:5" ht="12.75" customHeight="1">
      <c r="A61" s="11" t="s">
        <v>57</v>
      </c>
      <c r="B61" s="4">
        <f>SUM(B42-B53)</f>
        <v>244753</v>
      </c>
      <c r="C61" s="26">
        <f>SUM(C42-C53)</f>
        <v>6595</v>
      </c>
      <c r="D61" s="15">
        <f>SUM(D42-D53)</f>
        <v>40701</v>
      </c>
      <c r="E61" s="8"/>
    </row>
    <row r="62" spans="1:5" ht="12.75" customHeight="1">
      <c r="A62" s="18"/>
      <c r="B62" s="3"/>
      <c r="C62" s="3"/>
      <c r="D62" s="14"/>
      <c r="E62" s="8"/>
    </row>
    <row r="63" spans="1:5" ht="12.75" customHeight="1">
      <c r="A63" s="23" t="s">
        <v>58</v>
      </c>
      <c r="B63" s="4">
        <v>52151</v>
      </c>
      <c r="C63" s="4">
        <v>290</v>
      </c>
      <c r="D63" s="15">
        <v>678</v>
      </c>
      <c r="E63" s="9"/>
    </row>
    <row r="64" spans="1:5" ht="12.75" customHeight="1">
      <c r="A64" s="17"/>
      <c r="B64" s="3"/>
      <c r="C64" s="3"/>
      <c r="D64" s="14"/>
      <c r="E64" s="8"/>
    </row>
    <row r="65" spans="1:5" ht="12.75" customHeight="1">
      <c r="A65" s="11" t="s">
        <v>59</v>
      </c>
      <c r="B65" s="4">
        <v>50717</v>
      </c>
      <c r="C65" s="4">
        <v>0</v>
      </c>
      <c r="D65" s="15">
        <v>154</v>
      </c>
      <c r="E65" s="8"/>
    </row>
    <row r="66" spans="1:7" ht="12.75" customHeight="1">
      <c r="A66" s="11"/>
      <c r="B66" s="3"/>
      <c r="C66" s="3"/>
      <c r="D66" s="14"/>
      <c r="E66" s="8"/>
      <c r="G66" s="43"/>
    </row>
    <row r="67" spans="1:5" ht="12.75" customHeight="1">
      <c r="A67" s="11" t="s">
        <v>62</v>
      </c>
      <c r="B67" s="26">
        <f>SUM(B63-B65)</f>
        <v>1434</v>
      </c>
      <c r="C67" s="26">
        <f>SUM(C63-C65)</f>
        <v>290</v>
      </c>
      <c r="D67" s="30">
        <f>SUM(D63-D65)</f>
        <v>524</v>
      </c>
      <c r="E67" s="8"/>
    </row>
    <row r="68" spans="1:5" ht="12.75" customHeight="1">
      <c r="A68" s="13"/>
      <c r="B68" s="3"/>
      <c r="C68" s="3"/>
      <c r="D68" s="14"/>
      <c r="E68" s="8"/>
    </row>
    <row r="69" spans="1:5" ht="12.75" customHeight="1">
      <c r="A69" s="11" t="s">
        <v>60</v>
      </c>
      <c r="B69" s="4">
        <v>19501</v>
      </c>
      <c r="C69" s="4">
        <v>3651</v>
      </c>
      <c r="D69" s="15">
        <v>893</v>
      </c>
      <c r="E69" s="9"/>
    </row>
    <row r="70" spans="1:5" ht="12.75" customHeight="1">
      <c r="A70" s="11"/>
      <c r="B70" s="3"/>
      <c r="C70" s="3"/>
      <c r="D70" s="14"/>
      <c r="E70" s="8"/>
    </row>
    <row r="71" spans="1:5" ht="12.75" customHeight="1">
      <c r="A71" s="11" t="s">
        <v>61</v>
      </c>
      <c r="B71" s="28">
        <v>69489</v>
      </c>
      <c r="C71" s="28">
        <v>0</v>
      </c>
      <c r="D71" s="29">
        <v>45938</v>
      </c>
      <c r="E71" s="9"/>
    </row>
    <row r="72" spans="1:4" ht="12.75">
      <c r="A72" s="11"/>
      <c r="B72" s="45"/>
      <c r="C72" s="45"/>
      <c r="D72" s="46"/>
    </row>
    <row r="73" spans="1:4" ht="12.75">
      <c r="A73" s="11" t="s">
        <v>63</v>
      </c>
      <c r="B73" s="26">
        <f>SUM(B69-B71)</f>
        <v>-49988</v>
      </c>
      <c r="C73" s="26">
        <f>SUM(C69-C71)</f>
        <v>3651</v>
      </c>
      <c r="D73" s="30">
        <f>SUM(D69-D71)</f>
        <v>-45045</v>
      </c>
    </row>
    <row r="74" spans="1:4" ht="12.75">
      <c r="A74" s="13"/>
      <c r="B74" s="45"/>
      <c r="C74" s="45"/>
      <c r="D74" s="46"/>
    </row>
    <row r="75" spans="1:4" ht="13.5" thickBot="1">
      <c r="A75" s="20" t="s">
        <v>64</v>
      </c>
      <c r="B75" s="27">
        <f>B61+B63+B69-B65-B71</f>
        <v>196199</v>
      </c>
      <c r="C75" s="27">
        <f>C61+C63+C69-C65-C71</f>
        <v>10536</v>
      </c>
      <c r="D75" s="31">
        <f>D61+D63+D69-D65-D71</f>
        <v>-3820</v>
      </c>
    </row>
    <row r="77" ht="12.75">
      <c r="B77" s="43"/>
    </row>
  </sheetData>
  <sheetProtection/>
  <mergeCells count="3">
    <mergeCell ref="A1:H1"/>
    <mergeCell ref="A2:H2"/>
    <mergeCell ref="A39:H39"/>
  </mergeCells>
  <printOptions/>
  <pageMargins left="0.75" right="0.75" top="0.47" bottom="1" header="0.2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K46" sqref="K46"/>
    </sheetView>
  </sheetViews>
  <sheetFormatPr defaultColWidth="9.140625" defaultRowHeight="12.75"/>
  <cols>
    <col min="1" max="1" width="32.8515625" style="39" customWidth="1"/>
    <col min="2" max="2" width="10.7109375" style="39" customWidth="1"/>
    <col min="3" max="3" width="9.8515625" style="39" customWidth="1"/>
    <col min="4" max="4" width="9.57421875" style="39" customWidth="1"/>
    <col min="5" max="5" width="9.140625" style="39" customWidth="1"/>
    <col min="6" max="6" width="9.421875" style="39" customWidth="1"/>
    <col min="7" max="8" width="9.28125" style="39" customWidth="1"/>
    <col min="9" max="9" width="9.14062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9" ht="14.25" customHeight="1">
      <c r="A1" s="56" t="s">
        <v>101</v>
      </c>
      <c r="B1" s="56"/>
      <c r="C1" s="56"/>
      <c r="D1" s="56"/>
      <c r="E1" s="56"/>
      <c r="F1" s="56"/>
      <c r="G1" s="56"/>
      <c r="H1" s="56"/>
      <c r="I1" s="48"/>
    </row>
    <row r="2" spans="1:9" ht="14.25" customHeight="1">
      <c r="A2" s="57"/>
      <c r="B2" s="57"/>
      <c r="C2" s="57"/>
      <c r="D2" s="57"/>
      <c r="E2" s="57"/>
      <c r="F2" s="57"/>
      <c r="G2" s="57"/>
      <c r="H2" s="57"/>
      <c r="I2" s="49"/>
    </row>
    <row r="3" spans="1:11" ht="16.5" customHeight="1" thickBot="1">
      <c r="A3" s="1"/>
      <c r="B3" s="1"/>
      <c r="C3" s="40"/>
      <c r="D3" s="40"/>
      <c r="E3" s="2"/>
      <c r="F3" s="41"/>
      <c r="G3" s="41"/>
      <c r="H3" s="41"/>
      <c r="I3" s="41"/>
      <c r="K3" s="42" t="s">
        <v>0</v>
      </c>
    </row>
    <row r="4" spans="1:11" ht="16.5" customHeight="1">
      <c r="A4" s="10"/>
      <c r="B4" s="52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3" t="s">
        <v>7</v>
      </c>
      <c r="I4" s="53" t="s">
        <v>95</v>
      </c>
      <c r="J4" s="53" t="s">
        <v>8</v>
      </c>
      <c r="K4" s="54" t="s">
        <v>9</v>
      </c>
    </row>
    <row r="5" spans="1:11" ht="12.75" customHeight="1">
      <c r="A5" s="11" t="s">
        <v>20</v>
      </c>
      <c r="B5" s="5">
        <f>SUM(B7+B12+B20)</f>
        <v>3231712</v>
      </c>
      <c r="C5" s="5">
        <f>SUM(C7+C12+C20)</f>
        <v>2534082</v>
      </c>
      <c r="D5" s="5">
        <f>SUM(D7+D12+D20)</f>
        <v>221069</v>
      </c>
      <c r="E5" s="5">
        <f>SUM(E7+E12+E20)</f>
        <v>139783</v>
      </c>
      <c r="F5" s="5">
        <f>SUM(F7+F12+F20)</f>
        <v>288686</v>
      </c>
      <c r="G5" s="5">
        <f>SUM(G7+G12)</f>
        <v>426860</v>
      </c>
      <c r="H5" s="5">
        <f>SUM(H7+H12)</f>
        <v>260681</v>
      </c>
      <c r="I5" s="5">
        <f>SUM(I7+I12)</f>
        <v>31613</v>
      </c>
      <c r="J5" s="5">
        <f>SUM(J7+J12)</f>
        <v>446393</v>
      </c>
      <c r="K5" s="12">
        <f>SUM(K7+K12)</f>
        <v>415329</v>
      </c>
    </row>
    <row r="6" spans="1:11" ht="12.7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14"/>
    </row>
    <row r="7" spans="1:11" ht="12.75" customHeight="1">
      <c r="A7" s="11" t="s">
        <v>14</v>
      </c>
      <c r="B7" s="4">
        <f>SUM(B8:B10)</f>
        <v>2480116</v>
      </c>
      <c r="C7" s="4">
        <f aca="true" t="shared" si="0" ref="C7:K7">SUM(C8:C10)</f>
        <v>113397</v>
      </c>
      <c r="D7" s="4">
        <f>SUM(D8:D10)</f>
        <v>70933</v>
      </c>
      <c r="E7" s="4">
        <f t="shared" si="0"/>
        <v>4182</v>
      </c>
      <c r="F7" s="4">
        <f t="shared" si="0"/>
        <v>70889</v>
      </c>
      <c r="G7" s="4">
        <f t="shared" si="0"/>
        <v>8056</v>
      </c>
      <c r="H7" s="4">
        <f t="shared" si="0"/>
        <v>3353</v>
      </c>
      <c r="I7" s="4">
        <f t="shared" si="0"/>
        <v>1929</v>
      </c>
      <c r="J7" s="4">
        <f t="shared" si="0"/>
        <v>115383</v>
      </c>
      <c r="K7" s="15">
        <f t="shared" si="0"/>
        <v>280857</v>
      </c>
    </row>
    <row r="8" spans="1:11" ht="12.75" customHeight="1">
      <c r="A8" s="13" t="s">
        <v>18</v>
      </c>
      <c r="B8" s="3">
        <f>1445+661664+592945</f>
        <v>1256054</v>
      </c>
      <c r="C8" s="3">
        <f>185+113212</f>
        <v>113397</v>
      </c>
      <c r="D8" s="3">
        <v>70933</v>
      </c>
      <c r="E8" s="3">
        <f>242+3940</f>
        <v>4182</v>
      </c>
      <c r="F8" s="3">
        <f>9+70880</f>
        <v>70889</v>
      </c>
      <c r="G8" s="3">
        <f>3+8053</f>
        <v>8056</v>
      </c>
      <c r="H8" s="3">
        <v>3353</v>
      </c>
      <c r="I8" s="3">
        <v>1929</v>
      </c>
      <c r="J8" s="3">
        <v>114683</v>
      </c>
      <c r="K8" s="14">
        <f>184284+118+95864</f>
        <v>280266</v>
      </c>
    </row>
    <row r="9" spans="1:11" ht="12.75" customHeight="1">
      <c r="A9" s="13" t="s">
        <v>19</v>
      </c>
      <c r="B9" s="3">
        <v>643977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14">
        <v>0</v>
      </c>
    </row>
    <row r="10" spans="1:11" ht="12.75" customHeight="1">
      <c r="A10" s="13" t="s">
        <v>36</v>
      </c>
      <c r="B10" s="50">
        <f>579328+757</f>
        <v>580085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700</v>
      </c>
      <c r="K10" s="14">
        <v>591</v>
      </c>
    </row>
    <row r="11" spans="1:11" ht="12.7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14"/>
    </row>
    <row r="12" spans="1:11" ht="12.75" customHeight="1">
      <c r="A12" s="11" t="s">
        <v>15</v>
      </c>
      <c r="B12" s="4">
        <f aca="true" t="shared" si="1" ref="B12:K12">SUM(B13:B18)</f>
        <v>751596</v>
      </c>
      <c r="C12" s="4">
        <f t="shared" si="1"/>
        <v>2420685</v>
      </c>
      <c r="D12" s="4">
        <f t="shared" si="1"/>
        <v>150136</v>
      </c>
      <c r="E12" s="4">
        <f t="shared" si="1"/>
        <v>135601</v>
      </c>
      <c r="F12" s="4">
        <f t="shared" si="1"/>
        <v>217797</v>
      </c>
      <c r="G12" s="4">
        <f t="shared" si="1"/>
        <v>418804</v>
      </c>
      <c r="H12" s="4">
        <f t="shared" si="1"/>
        <v>257328</v>
      </c>
      <c r="I12" s="4">
        <f t="shared" si="1"/>
        <v>29684</v>
      </c>
      <c r="J12" s="4">
        <f t="shared" si="1"/>
        <v>331010</v>
      </c>
      <c r="K12" s="15">
        <f t="shared" si="1"/>
        <v>134472</v>
      </c>
    </row>
    <row r="13" spans="1:11" ht="12.75" customHeight="1">
      <c r="A13" s="13" t="s">
        <v>40</v>
      </c>
      <c r="B13" s="3">
        <v>10370</v>
      </c>
      <c r="C13" s="3">
        <v>802690</v>
      </c>
      <c r="D13" s="3">
        <v>84606</v>
      </c>
      <c r="E13" s="3">
        <v>41690</v>
      </c>
      <c r="F13" s="3">
        <v>70780</v>
      </c>
      <c r="G13" s="3">
        <v>230313</v>
      </c>
      <c r="H13" s="3">
        <v>94055</v>
      </c>
      <c r="I13" s="3">
        <v>18901</v>
      </c>
      <c r="J13" s="3">
        <v>53525</v>
      </c>
      <c r="K13" s="14">
        <v>85967</v>
      </c>
    </row>
    <row r="14" spans="1:11" ht="12.75" customHeight="1">
      <c r="A14" s="13" t="s">
        <v>37</v>
      </c>
      <c r="B14" s="3">
        <v>379537</v>
      </c>
      <c r="C14" s="3">
        <v>813747</v>
      </c>
      <c r="D14" s="3">
        <v>41363</v>
      </c>
      <c r="E14" s="3">
        <v>91778</v>
      </c>
      <c r="F14" s="3">
        <v>105291</v>
      </c>
      <c r="G14" s="3">
        <v>4602</v>
      </c>
      <c r="H14" s="3">
        <v>128070</v>
      </c>
      <c r="I14" s="3">
        <v>9686</v>
      </c>
      <c r="J14" s="3">
        <v>210443</v>
      </c>
      <c r="K14" s="14">
        <v>19378</v>
      </c>
    </row>
    <row r="15" spans="1:11" ht="12.75" customHeight="1">
      <c r="A15" s="13" t="s">
        <v>39</v>
      </c>
      <c r="B15" s="3">
        <v>154681</v>
      </c>
      <c r="C15" s="3">
        <v>10000</v>
      </c>
      <c r="D15" s="3">
        <v>0</v>
      </c>
      <c r="E15" s="3">
        <v>0</v>
      </c>
      <c r="F15" s="3">
        <v>0</v>
      </c>
      <c r="G15" s="3">
        <v>150271</v>
      </c>
      <c r="H15" s="3">
        <v>0</v>
      </c>
      <c r="I15" s="3">
        <v>0</v>
      </c>
      <c r="J15" s="3">
        <v>60000</v>
      </c>
      <c r="K15" s="14">
        <v>2330</v>
      </c>
    </row>
    <row r="16" spans="1:11" ht="12.75" customHeight="1">
      <c r="A16" s="13" t="s">
        <v>38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4">
        <v>0</v>
      </c>
    </row>
    <row r="17" spans="1:11" ht="12.75" customHeight="1">
      <c r="A17" s="13" t="s">
        <v>41</v>
      </c>
      <c r="B17" s="3">
        <f>3697+13825</f>
        <v>17522</v>
      </c>
      <c r="C17" s="3">
        <f>12321+15406</f>
        <v>27727</v>
      </c>
      <c r="D17" s="3">
        <f>1729+553</f>
        <v>2282</v>
      </c>
      <c r="E17" s="3">
        <v>786</v>
      </c>
      <c r="F17" s="3">
        <v>1990</v>
      </c>
      <c r="G17" s="3">
        <f>2897+2218</f>
        <v>5115</v>
      </c>
      <c r="H17" s="3">
        <f>3198+3249</f>
        <v>6447</v>
      </c>
      <c r="I17" s="3">
        <f>61+9</f>
        <v>70</v>
      </c>
      <c r="J17" s="3">
        <v>423</v>
      </c>
      <c r="K17" s="14">
        <f>11328+1193</f>
        <v>12521</v>
      </c>
    </row>
    <row r="18" spans="1:11" ht="12.75" customHeight="1">
      <c r="A18" s="16" t="s">
        <v>42</v>
      </c>
      <c r="B18" s="3">
        <v>189486</v>
      </c>
      <c r="C18" s="3">
        <v>766521</v>
      </c>
      <c r="D18" s="3">
        <v>21885</v>
      </c>
      <c r="E18" s="3">
        <v>1347</v>
      </c>
      <c r="F18" s="3">
        <v>39736</v>
      </c>
      <c r="G18" s="3">
        <v>28503</v>
      </c>
      <c r="H18" s="3">
        <v>28756</v>
      </c>
      <c r="I18" s="3">
        <v>1027</v>
      </c>
      <c r="J18" s="3">
        <v>6619</v>
      </c>
      <c r="K18" s="14">
        <v>14276</v>
      </c>
    </row>
    <row r="19" spans="1:11" ht="12.75" customHeight="1">
      <c r="A19" s="13"/>
      <c r="B19" s="3"/>
      <c r="C19" s="3"/>
      <c r="D19" s="3"/>
      <c r="E19" s="3"/>
      <c r="F19" s="3"/>
      <c r="G19" s="4"/>
      <c r="H19" s="4"/>
      <c r="I19" s="4"/>
      <c r="J19" s="4"/>
      <c r="K19" s="15"/>
    </row>
    <row r="20" spans="1:11" ht="12.75" customHeight="1">
      <c r="A20" s="11" t="s">
        <v>34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5">
        <v>0</v>
      </c>
    </row>
    <row r="21" spans="1:11" ht="12.75" customHeight="1">
      <c r="A21" s="17"/>
      <c r="B21" s="3"/>
      <c r="C21" s="3"/>
      <c r="D21" s="3"/>
      <c r="E21" s="3"/>
      <c r="F21" s="3"/>
      <c r="G21" s="3"/>
      <c r="H21" s="3"/>
      <c r="I21" s="3"/>
      <c r="J21" s="3"/>
      <c r="K21" s="14"/>
    </row>
    <row r="22" spans="1:11" ht="12.75" customHeight="1">
      <c r="A22" s="11" t="s">
        <v>21</v>
      </c>
      <c r="B22" s="4">
        <f>SUM(B24+B31+B36+B41)</f>
        <v>3231712</v>
      </c>
      <c r="C22" s="4">
        <f aca="true" t="shared" si="2" ref="C22:K22">SUM(C24+C31+C36+C41)</f>
        <v>2534082</v>
      </c>
      <c r="D22" s="4">
        <f>SUM(D24+D31+D36+D41)</f>
        <v>221069</v>
      </c>
      <c r="E22" s="4">
        <f t="shared" si="2"/>
        <v>139783</v>
      </c>
      <c r="F22" s="4">
        <f t="shared" si="2"/>
        <v>288686</v>
      </c>
      <c r="G22" s="4">
        <f t="shared" si="2"/>
        <v>426860</v>
      </c>
      <c r="H22" s="4">
        <f>SUM(H24+H31+H36+H41)</f>
        <v>260681</v>
      </c>
      <c r="I22" s="4">
        <f>SUM(I24+I31+I36+I41)</f>
        <v>31613</v>
      </c>
      <c r="J22" s="4">
        <f t="shared" si="2"/>
        <v>446393</v>
      </c>
      <c r="K22" s="15">
        <f t="shared" si="2"/>
        <v>415329</v>
      </c>
    </row>
    <row r="23" spans="1:11" ht="12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14"/>
    </row>
    <row r="24" spans="1:11" ht="12.75" customHeight="1">
      <c r="A24" s="11" t="s">
        <v>16</v>
      </c>
      <c r="B24" s="4">
        <f aca="true" t="shared" si="3" ref="B24:K24">SUM(B25:B29)</f>
        <v>2481010</v>
      </c>
      <c r="C24" s="4">
        <f t="shared" si="3"/>
        <v>631762</v>
      </c>
      <c r="D24" s="4">
        <f t="shared" si="3"/>
        <v>8252</v>
      </c>
      <c r="E24" s="4">
        <f t="shared" si="3"/>
        <v>29011</v>
      </c>
      <c r="F24" s="4">
        <f t="shared" si="3"/>
        <v>25616</v>
      </c>
      <c r="G24" s="4">
        <f t="shared" si="3"/>
        <v>41414</v>
      </c>
      <c r="H24" s="4">
        <f t="shared" si="3"/>
        <v>157958</v>
      </c>
      <c r="I24" s="4">
        <f t="shared" si="3"/>
        <v>4399</v>
      </c>
      <c r="J24" s="4">
        <f t="shared" si="3"/>
        <v>201789</v>
      </c>
      <c r="K24" s="15">
        <f t="shared" si="3"/>
        <v>213933</v>
      </c>
    </row>
    <row r="25" spans="1:11" ht="12.75" customHeight="1">
      <c r="A25" s="13" t="s">
        <v>22</v>
      </c>
      <c r="B25" s="3">
        <v>408000</v>
      </c>
      <c r="C25" s="3">
        <v>225194</v>
      </c>
      <c r="D25" s="3">
        <v>22895</v>
      </c>
      <c r="E25" s="3">
        <v>9380</v>
      </c>
      <c r="F25" s="3">
        <v>72684</v>
      </c>
      <c r="G25" s="3">
        <v>124071</v>
      </c>
      <c r="H25" s="3">
        <v>263</v>
      </c>
      <c r="I25" s="3">
        <v>289</v>
      </c>
      <c r="J25" s="3">
        <v>118694</v>
      </c>
      <c r="K25" s="14">
        <v>77182</v>
      </c>
    </row>
    <row r="26" spans="1:11" ht="12.75" customHeight="1">
      <c r="A26" s="13" t="s">
        <v>23</v>
      </c>
      <c r="B26" s="3">
        <f>33899+4256</f>
        <v>38155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14">
        <v>75</v>
      </c>
    </row>
    <row r="27" spans="1:11" ht="12.75" customHeight="1">
      <c r="A27" s="13" t="s">
        <v>24</v>
      </c>
      <c r="B27" s="3">
        <f>1927221+17423</f>
        <v>1944644</v>
      </c>
      <c r="C27" s="3">
        <v>406568</v>
      </c>
      <c r="D27" s="3">
        <v>0</v>
      </c>
      <c r="E27" s="3">
        <v>19631</v>
      </c>
      <c r="F27" s="3">
        <v>276</v>
      </c>
      <c r="G27" s="3">
        <v>0</v>
      </c>
      <c r="H27" s="3">
        <v>157291</v>
      </c>
      <c r="I27" s="3">
        <v>4102</v>
      </c>
      <c r="J27" s="3">
        <v>83095</v>
      </c>
      <c r="K27" s="14">
        <v>142549</v>
      </c>
    </row>
    <row r="28" spans="1:11" ht="12.75" customHeight="1">
      <c r="A28" s="13" t="s">
        <v>32</v>
      </c>
      <c r="B28" s="3">
        <v>90211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404</v>
      </c>
      <c r="I28" s="3">
        <v>8</v>
      </c>
      <c r="J28" s="3">
        <v>0</v>
      </c>
      <c r="K28" s="14"/>
    </row>
    <row r="29" spans="1:11" ht="12.75" customHeight="1">
      <c r="A29" s="13" t="s">
        <v>25</v>
      </c>
      <c r="B29" s="3">
        <v>0</v>
      </c>
      <c r="C29" s="3">
        <v>0</v>
      </c>
      <c r="D29" s="24">
        <v>-14643</v>
      </c>
      <c r="E29" s="24">
        <v>0</v>
      </c>
      <c r="F29" s="24">
        <v>-47344</v>
      </c>
      <c r="G29" s="24">
        <v>-82657</v>
      </c>
      <c r="H29" s="3">
        <v>0</v>
      </c>
      <c r="I29" s="3">
        <v>0</v>
      </c>
      <c r="J29" s="3">
        <v>0</v>
      </c>
      <c r="K29" s="35">
        <v>-5873</v>
      </c>
    </row>
    <row r="30" spans="1:11" ht="12.7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14"/>
    </row>
    <row r="31" spans="1:11" ht="12.75" customHeight="1">
      <c r="A31" s="11" t="s">
        <v>17</v>
      </c>
      <c r="B31" s="4">
        <f aca="true" t="shared" si="4" ref="B31:K31">SUM(B32:B34)</f>
        <v>493680</v>
      </c>
      <c r="C31" s="4">
        <f t="shared" si="4"/>
        <v>399440</v>
      </c>
      <c r="D31" s="4">
        <f t="shared" si="4"/>
        <v>111324</v>
      </c>
      <c r="E31" s="4">
        <f t="shared" si="4"/>
        <v>3084</v>
      </c>
      <c r="F31" s="4">
        <f t="shared" si="4"/>
        <v>143610</v>
      </c>
      <c r="G31" s="4">
        <f t="shared" si="4"/>
        <v>8797</v>
      </c>
      <c r="H31" s="4">
        <f t="shared" si="4"/>
        <v>21891</v>
      </c>
      <c r="I31" s="4">
        <f t="shared" si="4"/>
        <v>0</v>
      </c>
      <c r="J31" s="4">
        <f t="shared" si="4"/>
        <v>19433</v>
      </c>
      <c r="K31" s="15">
        <f t="shared" si="4"/>
        <v>12071</v>
      </c>
    </row>
    <row r="32" spans="1:11" ht="12.75" customHeight="1">
      <c r="A32" s="18" t="s">
        <v>26</v>
      </c>
      <c r="B32" s="3">
        <v>44437</v>
      </c>
      <c r="C32" s="3">
        <v>40104</v>
      </c>
      <c r="D32" s="3">
        <v>775</v>
      </c>
      <c r="E32" s="3">
        <v>3084</v>
      </c>
      <c r="F32" s="3">
        <v>13021</v>
      </c>
      <c r="G32" s="3">
        <v>8797</v>
      </c>
      <c r="H32" s="3">
        <v>1532</v>
      </c>
      <c r="I32" s="3">
        <v>0</v>
      </c>
      <c r="J32" s="3">
        <v>14321</v>
      </c>
      <c r="K32" s="14">
        <v>12071</v>
      </c>
    </row>
    <row r="33" spans="1:11" ht="12.75" customHeight="1">
      <c r="A33" s="19" t="s">
        <v>27</v>
      </c>
      <c r="B33" s="3">
        <v>449243</v>
      </c>
      <c r="C33" s="3">
        <v>0</v>
      </c>
      <c r="D33" s="3">
        <v>41505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5112</v>
      </c>
      <c r="K33" s="14">
        <v>0</v>
      </c>
    </row>
    <row r="34" spans="1:11" ht="12.75" customHeight="1">
      <c r="A34" s="18" t="s">
        <v>35</v>
      </c>
      <c r="B34" s="3">
        <v>0</v>
      </c>
      <c r="C34" s="3">
        <v>359336</v>
      </c>
      <c r="D34" s="3">
        <v>69044</v>
      </c>
      <c r="E34" s="3">
        <v>0</v>
      </c>
      <c r="F34" s="3">
        <v>130589</v>
      </c>
      <c r="G34" s="3">
        <v>0</v>
      </c>
      <c r="H34" s="3">
        <v>20359</v>
      </c>
      <c r="I34" s="3">
        <v>0</v>
      </c>
      <c r="J34" s="3">
        <v>0</v>
      </c>
      <c r="K34" s="14">
        <v>0</v>
      </c>
    </row>
    <row r="35" spans="1:11" ht="12.75" customHeight="1">
      <c r="A35" s="17"/>
      <c r="B35" s="3"/>
      <c r="C35" s="3"/>
      <c r="D35" s="3"/>
      <c r="E35" s="3"/>
      <c r="F35" s="3"/>
      <c r="G35" s="3"/>
      <c r="H35" s="3"/>
      <c r="I35" s="3"/>
      <c r="J35" s="3"/>
      <c r="K35" s="14"/>
    </row>
    <row r="36" spans="1:11" ht="12.75" customHeight="1">
      <c r="A36" s="11" t="s">
        <v>28</v>
      </c>
      <c r="B36" s="4">
        <f>SUM(B37:B39)</f>
        <v>225074</v>
      </c>
      <c r="C36" s="4">
        <f aca="true" t="shared" si="5" ref="C36:K36">SUM(C37:C39)</f>
        <v>1501715</v>
      </c>
      <c r="D36" s="4">
        <f>SUM(D37:D39)</f>
        <v>100376</v>
      </c>
      <c r="E36" s="4">
        <f t="shared" si="5"/>
        <v>107617</v>
      </c>
      <c r="F36" s="4">
        <f t="shared" si="5"/>
        <v>118096</v>
      </c>
      <c r="G36" s="4">
        <f t="shared" si="5"/>
        <v>376558</v>
      </c>
      <c r="H36" s="4">
        <f>SUM(H37:H39)</f>
        <v>80818</v>
      </c>
      <c r="I36" s="4">
        <f>SUM(I37:I39)</f>
        <v>27214</v>
      </c>
      <c r="J36" s="4">
        <f t="shared" si="5"/>
        <v>223601</v>
      </c>
      <c r="K36" s="15">
        <f t="shared" si="5"/>
        <v>184148</v>
      </c>
    </row>
    <row r="37" spans="1:11" ht="12.75" customHeight="1">
      <c r="A37" s="13" t="s">
        <v>33</v>
      </c>
      <c r="B37" s="3">
        <v>0</v>
      </c>
      <c r="C37" s="3">
        <v>923778</v>
      </c>
      <c r="D37" s="3">
        <v>10000</v>
      </c>
      <c r="E37" s="3">
        <v>26600</v>
      </c>
      <c r="F37" s="3">
        <v>0</v>
      </c>
      <c r="G37" s="3">
        <v>57300</v>
      </c>
      <c r="H37" s="3">
        <v>38500</v>
      </c>
      <c r="I37" s="3">
        <v>17502</v>
      </c>
      <c r="J37" s="3">
        <v>30000</v>
      </c>
      <c r="K37" s="14">
        <v>62870</v>
      </c>
    </row>
    <row r="38" spans="1:11" ht="12.75" customHeight="1">
      <c r="A38" s="13" t="s">
        <v>29</v>
      </c>
      <c r="B38" s="3">
        <v>29099</v>
      </c>
      <c r="C38" s="3">
        <v>418912</v>
      </c>
      <c r="D38" s="3">
        <v>87255</v>
      </c>
      <c r="E38" s="3">
        <v>67150</v>
      </c>
      <c r="F38" s="3">
        <v>110967</v>
      </c>
      <c r="G38" s="3">
        <v>285921</v>
      </c>
      <c r="H38" s="3">
        <v>13622</v>
      </c>
      <c r="I38" s="3">
        <v>6418</v>
      </c>
      <c r="J38" s="3">
        <v>174728</v>
      </c>
      <c r="K38" s="14">
        <v>111269</v>
      </c>
    </row>
    <row r="39" spans="1:11" ht="12.75" customHeight="1">
      <c r="A39" s="13" t="s">
        <v>30</v>
      </c>
      <c r="B39" s="3">
        <f>170824+25151</f>
        <v>195975</v>
      </c>
      <c r="C39" s="3">
        <f>157065+1960</f>
        <v>159025</v>
      </c>
      <c r="D39" s="3">
        <f>3098+23</f>
        <v>3121</v>
      </c>
      <c r="E39" s="3">
        <f>12280+1587</f>
        <v>13867</v>
      </c>
      <c r="F39" s="3">
        <f>5010+2119</f>
        <v>7129</v>
      </c>
      <c r="G39" s="3">
        <f>9976+23361</f>
        <v>33337</v>
      </c>
      <c r="H39" s="3">
        <f>28562+134</f>
        <v>28696</v>
      </c>
      <c r="I39" s="3">
        <f>2956+338</f>
        <v>3294</v>
      </c>
      <c r="J39" s="3">
        <f>17395+1478</f>
        <v>18873</v>
      </c>
      <c r="K39" s="14">
        <f>377+7037+2595</f>
        <v>10009</v>
      </c>
    </row>
    <row r="40" spans="1:11" ht="12.7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14"/>
    </row>
    <row r="41" spans="1:11" ht="12.75" customHeight="1" thickBot="1">
      <c r="A41" s="20" t="s">
        <v>31</v>
      </c>
      <c r="B41" s="21">
        <v>31948</v>
      </c>
      <c r="C41" s="21">
        <v>1165</v>
      </c>
      <c r="D41" s="21">
        <v>1117</v>
      </c>
      <c r="E41" s="21">
        <v>71</v>
      </c>
      <c r="F41" s="21">
        <v>1364</v>
      </c>
      <c r="G41" s="21">
        <v>91</v>
      </c>
      <c r="H41" s="21">
        <v>14</v>
      </c>
      <c r="I41" s="21">
        <v>0</v>
      </c>
      <c r="J41" s="21">
        <v>1570</v>
      </c>
      <c r="K41" s="22">
        <v>5177</v>
      </c>
    </row>
    <row r="42" spans="1:9" ht="16.5" customHeight="1">
      <c r="A42" s="56" t="s">
        <v>102</v>
      </c>
      <c r="B42" s="56"/>
      <c r="C42" s="56"/>
      <c r="D42" s="56"/>
      <c r="E42" s="56"/>
      <c r="F42" s="56"/>
      <c r="G42" s="56"/>
      <c r="H42" s="56"/>
      <c r="I42" s="48"/>
    </row>
    <row r="43" spans="1:5" ht="15.75" thickBot="1">
      <c r="A43" s="1"/>
      <c r="B43" s="1"/>
      <c r="C43" s="40"/>
      <c r="D43" s="2" t="s">
        <v>13</v>
      </c>
      <c r="E43" s="2"/>
    </row>
    <row r="44" spans="1:5" ht="21">
      <c r="A44" s="10"/>
      <c r="B44" s="55" t="s">
        <v>10</v>
      </c>
      <c r="C44" s="53" t="s">
        <v>11</v>
      </c>
      <c r="D44" s="54" t="s">
        <v>12</v>
      </c>
      <c r="E44" s="6"/>
    </row>
    <row r="45" spans="1:5" ht="12.75" customHeight="1">
      <c r="A45" s="11" t="s">
        <v>20</v>
      </c>
      <c r="B45" s="5">
        <f>SUM(B47+B51+B58)</f>
        <v>1390747</v>
      </c>
      <c r="C45" s="5">
        <f>SUM(C47+C51+C58)</f>
        <v>800092</v>
      </c>
      <c r="D45" s="12">
        <f>SUM(D47+D51+D58)</f>
        <v>810684</v>
      </c>
      <c r="E45" s="7"/>
    </row>
    <row r="46" spans="1:5" ht="12.75" customHeight="1">
      <c r="A46" s="13"/>
      <c r="B46" s="3"/>
      <c r="C46" s="3"/>
      <c r="D46" s="14"/>
      <c r="E46" s="8"/>
    </row>
    <row r="47" spans="1:5" ht="12.75" customHeight="1">
      <c r="A47" s="11" t="s">
        <v>14</v>
      </c>
      <c r="B47" s="4">
        <f>SUM(B48:B49)</f>
        <v>73683</v>
      </c>
      <c r="C47" s="4">
        <f>SUM(C48:C49)</f>
        <v>22641</v>
      </c>
      <c r="D47" s="15">
        <f>SUM(D48:D49)</f>
        <v>10115</v>
      </c>
      <c r="E47" s="8"/>
    </row>
    <row r="48" spans="1:5" ht="12.75" customHeight="1">
      <c r="A48" s="13" t="s">
        <v>18</v>
      </c>
      <c r="B48" s="3">
        <f>73293+390</f>
        <v>73683</v>
      </c>
      <c r="C48" s="3">
        <v>22641</v>
      </c>
      <c r="D48" s="14">
        <v>10115</v>
      </c>
      <c r="E48" s="8"/>
    </row>
    <row r="49" spans="1:5" ht="12.75" customHeight="1">
      <c r="A49" s="13" t="s">
        <v>19</v>
      </c>
      <c r="B49" s="3">
        <v>0</v>
      </c>
      <c r="C49" s="3">
        <v>0</v>
      </c>
      <c r="D49" s="14">
        <v>0</v>
      </c>
      <c r="E49" s="8"/>
    </row>
    <row r="50" spans="1:5" ht="12.75" customHeight="1">
      <c r="A50" s="13"/>
      <c r="B50" s="3"/>
      <c r="C50" s="3"/>
      <c r="D50" s="14"/>
      <c r="E50" s="8"/>
    </row>
    <row r="51" spans="1:5" ht="12.75" customHeight="1">
      <c r="A51" s="11" t="s">
        <v>15</v>
      </c>
      <c r="B51" s="4">
        <f>SUM(B52:B56)</f>
        <v>1317064</v>
      </c>
      <c r="C51" s="4">
        <f>SUM(C52:C56)</f>
        <v>777451</v>
      </c>
      <c r="D51" s="15">
        <f>SUM(D52:D56)</f>
        <v>800569</v>
      </c>
      <c r="E51" s="8"/>
    </row>
    <row r="52" spans="1:5" ht="12.75" customHeight="1">
      <c r="A52" s="13" t="s">
        <v>40</v>
      </c>
      <c r="B52" s="3">
        <f>184191+104590</f>
        <v>288781</v>
      </c>
      <c r="C52" s="3">
        <v>277979</v>
      </c>
      <c r="D52" s="14">
        <v>156754</v>
      </c>
      <c r="E52" s="8"/>
    </row>
    <row r="53" spans="1:5" ht="12.75" customHeight="1">
      <c r="A53" s="13" t="s">
        <v>37</v>
      </c>
      <c r="B53" s="3">
        <f>13167+627074+25443</f>
        <v>665684</v>
      </c>
      <c r="C53" s="3">
        <v>347384</v>
      </c>
      <c r="D53" s="14">
        <v>576135</v>
      </c>
      <c r="E53" s="8"/>
    </row>
    <row r="54" spans="1:5" ht="12.75" customHeight="1">
      <c r="A54" s="13" t="s">
        <v>39</v>
      </c>
      <c r="B54" s="3">
        <v>0</v>
      </c>
      <c r="C54" s="3">
        <v>147692</v>
      </c>
      <c r="D54" s="14">
        <v>0</v>
      </c>
      <c r="E54" s="9"/>
    </row>
    <row r="55" spans="1:5" ht="12.75" customHeight="1">
      <c r="A55" s="13" t="s">
        <v>41</v>
      </c>
      <c r="B55" s="3">
        <f>1466+162074</f>
        <v>163540</v>
      </c>
      <c r="C55" s="3">
        <f>909+489</f>
        <v>1398</v>
      </c>
      <c r="D55" s="14">
        <v>11280</v>
      </c>
      <c r="E55" s="8"/>
    </row>
    <row r="56" spans="1:5" ht="12.75" customHeight="1">
      <c r="A56" s="16" t="s">
        <v>42</v>
      </c>
      <c r="B56" s="3">
        <v>199059</v>
      </c>
      <c r="C56" s="3">
        <v>2998</v>
      </c>
      <c r="D56" s="14">
        <v>56400</v>
      </c>
      <c r="E56" s="8"/>
    </row>
    <row r="57" spans="1:5" ht="12.75" customHeight="1">
      <c r="A57" s="13"/>
      <c r="B57" s="3"/>
      <c r="C57" s="3"/>
      <c r="D57" s="14"/>
      <c r="E57" s="8"/>
    </row>
    <row r="58" spans="1:5" ht="12.75" customHeight="1">
      <c r="A58" s="11" t="s">
        <v>34</v>
      </c>
      <c r="B58" s="4"/>
      <c r="C58" s="4">
        <v>0</v>
      </c>
      <c r="D58" s="15">
        <v>0</v>
      </c>
      <c r="E58" s="8"/>
    </row>
    <row r="59" spans="1:5" ht="12.75" customHeight="1">
      <c r="A59" s="17"/>
      <c r="B59" s="3"/>
      <c r="C59" s="3"/>
      <c r="D59" s="14"/>
      <c r="E59" s="8"/>
    </row>
    <row r="60" spans="1:5" ht="12.75" customHeight="1">
      <c r="A60" s="11" t="s">
        <v>21</v>
      </c>
      <c r="B60" s="4">
        <f>SUM(B62+B69+B73+B78)</f>
        <v>1390747</v>
      </c>
      <c r="C60" s="4">
        <f>SUM(C62+C69+C73+C78)</f>
        <v>800092</v>
      </c>
      <c r="D60" s="15">
        <f>SUM(D62+D69+D73+D78)</f>
        <v>810684</v>
      </c>
      <c r="E60" s="8"/>
    </row>
    <row r="61" spans="1:5" ht="12.75" customHeight="1">
      <c r="A61" s="13"/>
      <c r="B61" s="3"/>
      <c r="C61" s="3"/>
      <c r="D61" s="14"/>
      <c r="E61" s="8"/>
    </row>
    <row r="62" spans="1:5" ht="12.75" customHeight="1">
      <c r="A62" s="11" t="s">
        <v>16</v>
      </c>
      <c r="B62" s="4">
        <f>SUM(B63:B67)</f>
        <v>396106</v>
      </c>
      <c r="C62" s="4">
        <f>SUM(C63:C67)</f>
        <v>177861</v>
      </c>
      <c r="D62" s="15">
        <f>SUM(D63:D67)</f>
        <v>9544</v>
      </c>
      <c r="E62" s="8"/>
    </row>
    <row r="63" spans="1:5" ht="12.75" customHeight="1">
      <c r="A63" s="13" t="s">
        <v>22</v>
      </c>
      <c r="B63" s="3">
        <v>248</v>
      </c>
      <c r="C63" s="3">
        <v>17000</v>
      </c>
      <c r="D63" s="14">
        <v>33903</v>
      </c>
      <c r="E63" s="8"/>
    </row>
    <row r="64" spans="1:5" ht="12.75" customHeight="1">
      <c r="A64" s="13" t="s">
        <v>23</v>
      </c>
      <c r="B64" s="3">
        <v>0</v>
      </c>
      <c r="C64" s="3">
        <v>0</v>
      </c>
      <c r="D64" s="14">
        <v>0</v>
      </c>
      <c r="E64" s="8"/>
    </row>
    <row r="65" spans="1:5" ht="12.75" customHeight="1">
      <c r="A65" s="13" t="s">
        <v>24</v>
      </c>
      <c r="B65" s="3">
        <v>395858</v>
      </c>
      <c r="C65" s="3">
        <v>160861</v>
      </c>
      <c r="D65" s="35">
        <v>0</v>
      </c>
      <c r="E65" s="8"/>
    </row>
    <row r="66" spans="1:5" ht="12.75" customHeight="1">
      <c r="A66" s="13" t="s">
        <v>32</v>
      </c>
      <c r="B66" s="3">
        <v>0</v>
      </c>
      <c r="C66" s="3">
        <v>0</v>
      </c>
      <c r="D66" s="14">
        <v>0</v>
      </c>
      <c r="E66" s="9"/>
    </row>
    <row r="67" spans="1:5" ht="12.75" customHeight="1">
      <c r="A67" s="13" t="s">
        <v>25</v>
      </c>
      <c r="B67" s="24">
        <v>0</v>
      </c>
      <c r="C67" s="3">
        <v>0</v>
      </c>
      <c r="D67" s="35">
        <f>(-20539-3820)</f>
        <v>-24359</v>
      </c>
      <c r="E67" s="8"/>
    </row>
    <row r="68" spans="1:5" ht="12.75" customHeight="1">
      <c r="A68" s="13"/>
      <c r="B68" s="3"/>
      <c r="C68" s="3"/>
      <c r="D68" s="14"/>
      <c r="E68" s="8"/>
    </row>
    <row r="69" spans="1:7" ht="12.75" customHeight="1">
      <c r="A69" s="11" t="s">
        <v>17</v>
      </c>
      <c r="B69" s="4">
        <f>SUM(B70:B71)</f>
        <v>0</v>
      </c>
      <c r="C69" s="4">
        <f>SUM(C70:C71)</f>
        <v>0</v>
      </c>
      <c r="D69" s="15">
        <f>SUM(D70:D71)</f>
        <v>0</v>
      </c>
      <c r="E69" s="8"/>
      <c r="G69" s="43"/>
    </row>
    <row r="70" spans="1:5" ht="12.75" customHeight="1">
      <c r="A70" s="18" t="s">
        <v>26</v>
      </c>
      <c r="B70" s="3">
        <v>0</v>
      </c>
      <c r="C70" s="3">
        <v>0</v>
      </c>
      <c r="D70" s="14">
        <v>0</v>
      </c>
      <c r="E70" s="8"/>
    </row>
    <row r="71" spans="1:5" ht="12.75" customHeight="1">
      <c r="A71" s="19" t="s">
        <v>27</v>
      </c>
      <c r="B71" s="3">
        <v>0</v>
      </c>
      <c r="C71" s="3">
        <v>0</v>
      </c>
      <c r="D71" s="14">
        <v>0</v>
      </c>
      <c r="E71" s="8"/>
    </row>
    <row r="72" spans="1:5" ht="12.75" customHeight="1">
      <c r="A72" s="17"/>
      <c r="B72" s="3"/>
      <c r="C72" s="3"/>
      <c r="D72" s="14"/>
      <c r="E72" s="9"/>
    </row>
    <row r="73" spans="1:5" ht="12.75" customHeight="1">
      <c r="A73" s="11" t="s">
        <v>28</v>
      </c>
      <c r="B73" s="4">
        <f>SUM(B74:B76)</f>
        <v>994641</v>
      </c>
      <c r="C73" s="4">
        <f>SUM(C74:C76)</f>
        <v>622231</v>
      </c>
      <c r="D73" s="15">
        <f>SUM(D74:D76)</f>
        <v>801140</v>
      </c>
      <c r="E73" s="8"/>
    </row>
    <row r="74" spans="1:5" ht="12.75" customHeight="1">
      <c r="A74" s="13" t="s">
        <v>33</v>
      </c>
      <c r="B74" s="3">
        <v>0</v>
      </c>
      <c r="C74" s="3">
        <v>0</v>
      </c>
      <c r="D74" s="14">
        <v>4926</v>
      </c>
      <c r="E74" s="9"/>
    </row>
    <row r="75" spans="1:5" ht="12.75" customHeight="1">
      <c r="A75" s="13" t="s">
        <v>29</v>
      </c>
      <c r="B75" s="3">
        <f>324122+6103</f>
        <v>330225</v>
      </c>
      <c r="C75" s="3">
        <v>596571</v>
      </c>
      <c r="D75" s="14">
        <v>771455</v>
      </c>
      <c r="E75" s="8"/>
    </row>
    <row r="76" spans="1:5" ht="12.75" customHeight="1">
      <c r="A76" s="13" t="s">
        <v>30</v>
      </c>
      <c r="B76" s="3">
        <f>6205+29233+133034+495944</f>
        <v>664416</v>
      </c>
      <c r="C76" s="3">
        <f>15744+9916</f>
        <v>25660</v>
      </c>
      <c r="D76" s="14">
        <v>24759</v>
      </c>
      <c r="E76" s="9"/>
    </row>
    <row r="77" spans="1:5" ht="12.75" customHeight="1">
      <c r="A77" s="13"/>
      <c r="B77" s="3"/>
      <c r="C77" s="3"/>
      <c r="D77" s="14"/>
      <c r="E77" s="9"/>
    </row>
    <row r="78" spans="1:5" ht="12.75" customHeight="1" thickBot="1">
      <c r="A78" s="20" t="s">
        <v>31</v>
      </c>
      <c r="B78" s="21">
        <v>0</v>
      </c>
      <c r="C78" s="21">
        <v>0</v>
      </c>
      <c r="D78" s="22">
        <v>0</v>
      </c>
      <c r="E78" s="9"/>
    </row>
  </sheetData>
  <sheetProtection/>
  <mergeCells count="3">
    <mergeCell ref="A1:H1"/>
    <mergeCell ref="A2:H2"/>
    <mergeCell ref="A42:H42"/>
  </mergeCells>
  <printOptions/>
  <pageMargins left="0.67" right="0.32" top="0.4" bottom="0.39" header="0.18" footer="0.22"/>
  <pageSetup horizontalDpi="600" verticalDpi="600" orientation="landscape" paperSize="9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68">
      <selection activeCell="I82" sqref="I82"/>
    </sheetView>
  </sheetViews>
  <sheetFormatPr defaultColWidth="9.140625" defaultRowHeight="12.75"/>
  <cols>
    <col min="1" max="1" width="37.7109375" style="39" customWidth="1"/>
    <col min="2" max="2" width="11.421875" style="39" customWidth="1"/>
    <col min="3" max="3" width="9.7109375" style="39" customWidth="1"/>
    <col min="4" max="4" width="9.57421875" style="39" customWidth="1"/>
    <col min="5" max="5" width="9.28125" style="39" customWidth="1"/>
    <col min="6" max="6" width="9.57421875" style="39" customWidth="1"/>
    <col min="7" max="7" width="9.421875" style="39" customWidth="1"/>
    <col min="8" max="8" width="9.57421875" style="39" customWidth="1"/>
    <col min="9" max="9" width="8.42187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11" ht="14.25" customHeight="1">
      <c r="A1" s="56" t="s">
        <v>103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customHeight="1" thickBot="1">
      <c r="A2" s="1"/>
      <c r="B2" s="1"/>
      <c r="C2" s="40"/>
      <c r="D2" s="2"/>
      <c r="E2" s="41"/>
      <c r="F2" s="41"/>
      <c r="G2" s="41"/>
      <c r="H2" s="41"/>
      <c r="I2" s="41"/>
      <c r="K2" s="44" t="s">
        <v>0</v>
      </c>
    </row>
    <row r="3" spans="1:11" ht="16.5" customHeight="1">
      <c r="A3" s="10"/>
      <c r="B3" s="52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95</v>
      </c>
      <c r="J3" s="53" t="s">
        <v>8</v>
      </c>
      <c r="K3" s="54" t="s">
        <v>9</v>
      </c>
    </row>
    <row r="4" spans="1:11" ht="12.75" customHeight="1">
      <c r="A4" s="11" t="s">
        <v>65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2.75" customHeight="1">
      <c r="A5" s="13" t="s">
        <v>66</v>
      </c>
      <c r="B5" s="3">
        <v>251295</v>
      </c>
      <c r="C5" s="3">
        <v>1244658</v>
      </c>
      <c r="D5" s="3">
        <v>85751</v>
      </c>
      <c r="E5" s="3">
        <v>165920</v>
      </c>
      <c r="F5" s="3">
        <v>162372</v>
      </c>
      <c r="G5" s="3">
        <v>387231</v>
      </c>
      <c r="H5" s="3">
        <v>163219</v>
      </c>
      <c r="I5" s="3">
        <v>20767</v>
      </c>
      <c r="J5" s="3">
        <v>327339</v>
      </c>
      <c r="K5" s="14">
        <v>319177</v>
      </c>
    </row>
    <row r="6" spans="1:11" ht="12.75" customHeight="1">
      <c r="A6" s="13" t="s">
        <v>67</v>
      </c>
      <c r="B6" s="3"/>
      <c r="C6" s="3"/>
      <c r="D6" s="3"/>
      <c r="E6" s="3"/>
      <c r="F6" s="3"/>
      <c r="G6" s="3"/>
      <c r="H6" s="3"/>
      <c r="I6" s="3"/>
      <c r="J6" s="3">
        <v>1724</v>
      </c>
      <c r="K6" s="14">
        <v>33</v>
      </c>
    </row>
    <row r="7" spans="1:11" ht="12.75" customHeight="1">
      <c r="A7" s="13" t="s">
        <v>68</v>
      </c>
      <c r="B7" s="3">
        <v>1233</v>
      </c>
      <c r="C7" s="3">
        <v>49361</v>
      </c>
      <c r="D7" s="3">
        <v>8252</v>
      </c>
      <c r="E7" s="3">
        <v>37</v>
      </c>
      <c r="F7" s="3">
        <v>5425</v>
      </c>
      <c r="G7" s="3">
        <v>129</v>
      </c>
      <c r="H7" s="3">
        <v>40</v>
      </c>
      <c r="I7" s="3">
        <v>838</v>
      </c>
      <c r="J7" s="3">
        <v>10539</v>
      </c>
      <c r="K7" s="14">
        <v>19673</v>
      </c>
    </row>
    <row r="8" spans="1:11" ht="12.75" customHeight="1">
      <c r="A8" s="13" t="s">
        <v>69</v>
      </c>
      <c r="B8" s="24">
        <v>-188023</v>
      </c>
      <c r="C8" s="24">
        <v>-903404</v>
      </c>
      <c r="D8" s="24">
        <v>-57131</v>
      </c>
      <c r="E8" s="24">
        <v>-128436</v>
      </c>
      <c r="F8" s="24">
        <v>-122587</v>
      </c>
      <c r="G8" s="24">
        <v>-326705</v>
      </c>
      <c r="H8" s="24">
        <v>-123923</v>
      </c>
      <c r="I8" s="24">
        <v>-19425</v>
      </c>
      <c r="J8" s="24">
        <v>-287470</v>
      </c>
      <c r="K8" s="35">
        <v>-283409</v>
      </c>
    </row>
    <row r="9" spans="1:11" ht="12.75" customHeight="1">
      <c r="A9" s="13" t="s">
        <v>70</v>
      </c>
      <c r="B9" s="24">
        <v>-77598</v>
      </c>
      <c r="C9" s="24">
        <v>-200009</v>
      </c>
      <c r="D9" s="24">
        <v>-12971</v>
      </c>
      <c r="E9" s="24">
        <v>-22373</v>
      </c>
      <c r="F9" s="24">
        <v>-20036</v>
      </c>
      <c r="G9" s="24">
        <v>-39341</v>
      </c>
      <c r="H9" s="24">
        <v>-9231</v>
      </c>
      <c r="I9" s="24">
        <v>-5473</v>
      </c>
      <c r="J9" s="24">
        <v>-34491</v>
      </c>
      <c r="K9" s="35">
        <v>-39761</v>
      </c>
    </row>
    <row r="10" spans="1:11" ht="12.75" customHeight="1">
      <c r="A10" s="13" t="s">
        <v>71</v>
      </c>
      <c r="B10" s="24">
        <v>-4730</v>
      </c>
      <c r="C10" s="24">
        <v>-56014</v>
      </c>
      <c r="D10" s="24">
        <v>-5602</v>
      </c>
      <c r="E10" s="24">
        <v>-1674</v>
      </c>
      <c r="F10" s="24">
        <v>-8478</v>
      </c>
      <c r="G10" s="24">
        <v>-3711</v>
      </c>
      <c r="H10" s="24">
        <v>-4110</v>
      </c>
      <c r="I10" s="24">
        <v>-797</v>
      </c>
      <c r="J10" s="24">
        <v>-754</v>
      </c>
      <c r="K10" s="35">
        <v>-2741</v>
      </c>
    </row>
    <row r="11" spans="1:11" ht="12.75" customHeight="1">
      <c r="A11" s="13" t="s">
        <v>72</v>
      </c>
      <c r="B11" s="24">
        <v>-5350</v>
      </c>
      <c r="C11" s="24">
        <v>-2640</v>
      </c>
      <c r="D11" s="24"/>
      <c r="E11" s="24">
        <v>-2079</v>
      </c>
      <c r="F11" s="24"/>
      <c r="G11" s="24"/>
      <c r="H11" s="24">
        <v>-1606</v>
      </c>
      <c r="I11" s="24">
        <v>-46</v>
      </c>
      <c r="J11" s="24">
        <v>-916</v>
      </c>
      <c r="K11" s="35"/>
    </row>
    <row r="12" spans="1:11" ht="12.75" customHeight="1">
      <c r="A12" s="13" t="s">
        <v>73</v>
      </c>
      <c r="B12" s="24">
        <v>-46643</v>
      </c>
      <c r="C12" s="24">
        <v>-1803</v>
      </c>
      <c r="D12" s="24">
        <v>-854</v>
      </c>
      <c r="E12" s="24">
        <v>-5076</v>
      </c>
      <c r="F12" s="24">
        <v>-3400</v>
      </c>
      <c r="G12" s="24">
        <v>-4685</v>
      </c>
      <c r="H12" s="24">
        <v>-4545</v>
      </c>
      <c r="I12" s="24">
        <v>-1761</v>
      </c>
      <c r="J12" s="24">
        <v>-11112</v>
      </c>
      <c r="K12" s="35">
        <v>-8200</v>
      </c>
    </row>
    <row r="13" spans="1:11" ht="12.75" customHeight="1">
      <c r="A13" s="17"/>
      <c r="B13" s="3"/>
      <c r="C13" s="3"/>
      <c r="D13" s="3"/>
      <c r="E13" s="3"/>
      <c r="F13" s="3"/>
      <c r="G13" s="3"/>
      <c r="H13" s="3"/>
      <c r="I13" s="3"/>
      <c r="J13" s="3"/>
      <c r="K13" s="14"/>
    </row>
    <row r="14" spans="1:11" ht="12.75" customHeight="1">
      <c r="A14" s="11" t="s">
        <v>74</v>
      </c>
      <c r="B14" s="26">
        <f aca="true" t="shared" si="0" ref="B14:K14">SUM(B4:B13)</f>
        <v>-69816</v>
      </c>
      <c r="C14" s="26">
        <f t="shared" si="0"/>
        <v>130149</v>
      </c>
      <c r="D14" s="26">
        <f t="shared" si="0"/>
        <v>17445</v>
      </c>
      <c r="E14" s="26">
        <f t="shared" si="0"/>
        <v>6319</v>
      </c>
      <c r="F14" s="26">
        <f t="shared" si="0"/>
        <v>13296</v>
      </c>
      <c r="G14" s="26">
        <f t="shared" si="0"/>
        <v>12918</v>
      </c>
      <c r="H14" s="4">
        <f t="shared" si="0"/>
        <v>19844</v>
      </c>
      <c r="I14" s="26">
        <f t="shared" si="0"/>
        <v>-5897</v>
      </c>
      <c r="J14" s="4">
        <f t="shared" si="0"/>
        <v>4859</v>
      </c>
      <c r="K14" s="30">
        <f t="shared" si="0"/>
        <v>4772</v>
      </c>
    </row>
    <row r="15" spans="1:11" ht="12.75" customHeight="1">
      <c r="A15" s="17"/>
      <c r="B15" s="3"/>
      <c r="C15" s="3"/>
      <c r="D15" s="3"/>
      <c r="E15" s="3"/>
      <c r="F15" s="3"/>
      <c r="G15" s="3"/>
      <c r="H15" s="3"/>
      <c r="I15" s="3"/>
      <c r="J15" s="3"/>
      <c r="K15" s="14"/>
    </row>
    <row r="16" spans="1:11" ht="12.75" customHeight="1">
      <c r="A16" s="11" t="s">
        <v>75</v>
      </c>
      <c r="B16" s="3"/>
      <c r="C16" s="3"/>
      <c r="D16" s="3"/>
      <c r="E16" s="3"/>
      <c r="F16" s="3"/>
      <c r="G16" s="3"/>
      <c r="H16" s="3"/>
      <c r="I16" s="3"/>
      <c r="J16" s="3"/>
      <c r="K16" s="14"/>
    </row>
    <row r="17" spans="1:11" ht="12.75" customHeight="1">
      <c r="A17" s="13" t="s">
        <v>76</v>
      </c>
      <c r="B17" s="3"/>
      <c r="C17" s="3"/>
      <c r="D17" s="3"/>
      <c r="E17" s="3"/>
      <c r="F17" s="3"/>
      <c r="G17" s="3"/>
      <c r="H17" s="3"/>
      <c r="I17" s="3"/>
      <c r="J17" s="3"/>
      <c r="K17" s="14"/>
    </row>
    <row r="18" spans="1:11" ht="12.75" customHeight="1">
      <c r="A18" s="13" t="s">
        <v>77</v>
      </c>
      <c r="B18" s="3"/>
      <c r="C18" s="3"/>
      <c r="D18" s="3"/>
      <c r="E18" s="3"/>
      <c r="F18" s="3"/>
      <c r="G18" s="3"/>
      <c r="H18" s="3"/>
      <c r="I18" s="3"/>
      <c r="J18" s="3">
        <v>863</v>
      </c>
      <c r="K18" s="14">
        <v>238</v>
      </c>
    </row>
    <row r="19" spans="1:11" ht="12.75" customHeight="1">
      <c r="A19" s="13" t="s">
        <v>78</v>
      </c>
      <c r="B19" s="24">
        <v>276867</v>
      </c>
      <c r="C19" s="3">
        <v>432543</v>
      </c>
      <c r="D19" s="3"/>
      <c r="E19" s="3"/>
      <c r="F19" s="3"/>
      <c r="G19" s="3"/>
      <c r="H19" s="3"/>
      <c r="I19" s="3"/>
      <c r="J19" s="24"/>
      <c r="K19" s="14"/>
    </row>
    <row r="20" spans="1:11" ht="12.75" customHeight="1">
      <c r="A20" s="13" t="s">
        <v>79</v>
      </c>
      <c r="B20" s="3">
        <v>59903</v>
      </c>
      <c r="C20" s="3">
        <v>18932</v>
      </c>
      <c r="D20" s="3">
        <v>9</v>
      </c>
      <c r="E20" s="3">
        <v>6</v>
      </c>
      <c r="F20" s="3">
        <v>615</v>
      </c>
      <c r="G20" s="3">
        <v>128</v>
      </c>
      <c r="H20" s="3">
        <v>48</v>
      </c>
      <c r="I20" s="3"/>
      <c r="J20" s="3"/>
      <c r="K20" s="14"/>
    </row>
    <row r="21" spans="1:11" ht="12.75" customHeight="1">
      <c r="A21" s="13" t="s">
        <v>80</v>
      </c>
      <c r="B21" s="3">
        <v>64500</v>
      </c>
      <c r="C21" s="3"/>
      <c r="D21" s="3"/>
      <c r="E21" s="3"/>
      <c r="F21" s="3"/>
      <c r="G21" s="3"/>
      <c r="H21" s="3"/>
      <c r="I21" s="3"/>
      <c r="J21" s="3"/>
      <c r="K21" s="14"/>
    </row>
    <row r="22" spans="1:11" ht="12.75" customHeight="1">
      <c r="A22" s="13" t="s">
        <v>81</v>
      </c>
      <c r="B22" s="24">
        <v>-4629</v>
      </c>
      <c r="C22" s="3"/>
      <c r="D22" s="3"/>
      <c r="E22" s="3"/>
      <c r="F22" s="3"/>
      <c r="G22" s="3"/>
      <c r="H22" s="3"/>
      <c r="I22" s="3"/>
      <c r="J22" s="3"/>
      <c r="K22" s="14"/>
    </row>
    <row r="23" spans="1:11" ht="12.75" customHeight="1">
      <c r="A23" s="13" t="s">
        <v>82</v>
      </c>
      <c r="B23" s="24">
        <v>-7424</v>
      </c>
      <c r="C23" s="24">
        <v>-17306</v>
      </c>
      <c r="D23" s="24">
        <v>-1109</v>
      </c>
      <c r="E23" s="24">
        <v>-2108</v>
      </c>
      <c r="F23" s="24">
        <v>-1942</v>
      </c>
      <c r="G23" s="24">
        <v>-259</v>
      </c>
      <c r="H23" s="24">
        <v>-107</v>
      </c>
      <c r="I23" s="24"/>
      <c r="J23" s="24">
        <v>-5884</v>
      </c>
      <c r="K23" s="35">
        <v>-5345</v>
      </c>
    </row>
    <row r="24" spans="1:11" ht="12.75" customHeight="1">
      <c r="A24" s="13" t="s">
        <v>98</v>
      </c>
      <c r="B24" s="24"/>
      <c r="C24" s="24">
        <v>-10000</v>
      </c>
      <c r="D24" s="3"/>
      <c r="E24" s="3"/>
      <c r="F24" s="3">
        <v>5274</v>
      </c>
      <c r="G24" s="3"/>
      <c r="H24" s="3"/>
      <c r="I24" s="3"/>
      <c r="J24" s="3"/>
      <c r="K24" s="35">
        <v>-238</v>
      </c>
    </row>
    <row r="25" spans="1:11" ht="12.75" customHeight="1">
      <c r="A25" s="17"/>
      <c r="B25" s="3"/>
      <c r="C25" s="3"/>
      <c r="D25" s="3"/>
      <c r="E25" s="3"/>
      <c r="F25" s="3"/>
      <c r="G25" s="3"/>
      <c r="H25" s="3"/>
      <c r="I25" s="3"/>
      <c r="J25" s="3"/>
      <c r="K25" s="14"/>
    </row>
    <row r="26" spans="1:11" ht="12.75" customHeight="1">
      <c r="A26" s="11" t="s">
        <v>84</v>
      </c>
      <c r="B26" s="26">
        <f aca="true" t="shared" si="1" ref="B26:I26">SUM(B16:B25)</f>
        <v>389217</v>
      </c>
      <c r="C26" s="36">
        <f t="shared" si="1"/>
        <v>424169</v>
      </c>
      <c r="D26" s="26">
        <f t="shared" si="1"/>
        <v>-1100</v>
      </c>
      <c r="E26" s="26">
        <f t="shared" si="1"/>
        <v>-2102</v>
      </c>
      <c r="F26" s="36">
        <f t="shared" si="1"/>
        <v>3947</v>
      </c>
      <c r="G26" s="36">
        <f t="shared" si="1"/>
        <v>-131</v>
      </c>
      <c r="H26" s="26">
        <f t="shared" si="1"/>
        <v>-59</v>
      </c>
      <c r="I26" s="26">
        <f t="shared" si="1"/>
        <v>0</v>
      </c>
      <c r="J26" s="36">
        <f>SUM(J17:J25)</f>
        <v>-5021</v>
      </c>
      <c r="K26" s="30">
        <f>SUM(K17:K24)</f>
        <v>-5345</v>
      </c>
    </row>
    <row r="27" spans="1:11" ht="12.75" customHeight="1">
      <c r="A27" s="17"/>
      <c r="B27" s="3"/>
      <c r="C27" s="3"/>
      <c r="D27" s="3"/>
      <c r="E27" s="3"/>
      <c r="F27" s="3"/>
      <c r="G27" s="3"/>
      <c r="H27" s="3"/>
      <c r="I27" s="3"/>
      <c r="J27" s="3"/>
      <c r="K27" s="14"/>
    </row>
    <row r="28" spans="1:11" ht="12.75" customHeight="1">
      <c r="A28" s="11" t="s">
        <v>85</v>
      </c>
      <c r="B28" s="3"/>
      <c r="C28" s="3"/>
      <c r="D28" s="3"/>
      <c r="E28" s="3"/>
      <c r="F28" s="3"/>
      <c r="G28" s="3"/>
      <c r="H28" s="3"/>
      <c r="I28" s="3"/>
      <c r="J28" s="3"/>
      <c r="K28" s="14"/>
    </row>
    <row r="29" spans="1:11" ht="12.75" customHeight="1">
      <c r="A29" s="13" t="s">
        <v>97</v>
      </c>
      <c r="B29" s="3"/>
      <c r="C29" s="3"/>
      <c r="D29" s="3"/>
      <c r="E29" s="3"/>
      <c r="F29" s="3"/>
      <c r="G29" s="3"/>
      <c r="H29" s="3"/>
      <c r="I29" s="3"/>
      <c r="J29" s="3"/>
      <c r="K29" s="14"/>
    </row>
    <row r="30" spans="1:11" ht="12.75" customHeight="1">
      <c r="A30" s="13" t="s">
        <v>86</v>
      </c>
      <c r="B30" s="24">
        <v>-71146</v>
      </c>
      <c r="C30" s="24">
        <v>106428</v>
      </c>
      <c r="D30" s="24">
        <v>-9953</v>
      </c>
      <c r="E30" s="24">
        <v>-3400</v>
      </c>
      <c r="F30" s="24">
        <v>-11158</v>
      </c>
      <c r="G30" s="24">
        <v>-8700</v>
      </c>
      <c r="H30" s="24">
        <v>6635</v>
      </c>
      <c r="I30" s="24">
        <v>5174</v>
      </c>
      <c r="J30" s="24">
        <v>-859</v>
      </c>
      <c r="K30" s="35">
        <v>-1000</v>
      </c>
    </row>
    <row r="31" spans="1:11" ht="12.75" customHeight="1">
      <c r="A31" s="13" t="s">
        <v>87</v>
      </c>
      <c r="B31" s="24">
        <v>-68999</v>
      </c>
      <c r="C31" s="24">
        <v>-75687</v>
      </c>
      <c r="D31" s="24"/>
      <c r="E31" s="24">
        <v>-866</v>
      </c>
      <c r="F31" s="3"/>
      <c r="G31" s="24"/>
      <c r="H31" s="24">
        <v>-5244</v>
      </c>
      <c r="I31" s="24"/>
      <c r="J31" s="24"/>
      <c r="K31" s="14"/>
    </row>
    <row r="32" spans="1:11" ht="12.75" customHeight="1">
      <c r="A32" s="13" t="s">
        <v>88</v>
      </c>
      <c r="B32" s="3" t="s">
        <v>93</v>
      </c>
      <c r="C32" s="3"/>
      <c r="D32" s="3"/>
      <c r="E32" s="3"/>
      <c r="F32" s="3"/>
      <c r="G32" s="24"/>
      <c r="H32" s="24"/>
      <c r="I32" s="24"/>
      <c r="J32" s="24">
        <v>-288</v>
      </c>
      <c r="K32" s="14"/>
    </row>
    <row r="33" spans="1:11" ht="12.75" customHeight="1">
      <c r="A33" s="17"/>
      <c r="B33" s="3"/>
      <c r="C33" s="3"/>
      <c r="D33" s="3"/>
      <c r="E33" s="3"/>
      <c r="F33" s="3"/>
      <c r="G33" s="3"/>
      <c r="H33" s="3"/>
      <c r="I33" s="3"/>
      <c r="J33" s="3"/>
      <c r="K33" s="14"/>
    </row>
    <row r="34" spans="1:11" ht="12.75" customHeight="1">
      <c r="A34" s="11" t="s">
        <v>89</v>
      </c>
      <c r="B34" s="26">
        <f>SUM(B29:B32)</f>
        <v>-140145</v>
      </c>
      <c r="C34" s="26">
        <f aca="true" t="shared" si="2" ref="C34:K34">SUM(C29:C32)</f>
        <v>30741</v>
      </c>
      <c r="D34" s="26">
        <f t="shared" si="2"/>
        <v>-9953</v>
      </c>
      <c r="E34" s="26">
        <f t="shared" si="2"/>
        <v>-4266</v>
      </c>
      <c r="F34" s="26">
        <f t="shared" si="2"/>
        <v>-11158</v>
      </c>
      <c r="G34" s="26">
        <f t="shared" si="2"/>
        <v>-8700</v>
      </c>
      <c r="H34" s="26">
        <f t="shared" si="2"/>
        <v>1391</v>
      </c>
      <c r="I34" s="26">
        <f t="shared" si="2"/>
        <v>5174</v>
      </c>
      <c r="J34" s="26">
        <f t="shared" si="2"/>
        <v>-1147</v>
      </c>
      <c r="K34" s="30">
        <f t="shared" si="2"/>
        <v>-1000</v>
      </c>
    </row>
    <row r="35" spans="1:11" ht="12.75" customHeight="1">
      <c r="A35" s="17"/>
      <c r="B35" s="3"/>
      <c r="C35" s="3"/>
      <c r="D35" s="3"/>
      <c r="E35" s="3"/>
      <c r="F35" s="3"/>
      <c r="G35" s="3"/>
      <c r="H35" s="3"/>
      <c r="I35" s="3"/>
      <c r="J35" s="3"/>
      <c r="K35" s="14"/>
    </row>
    <row r="36" spans="1:11" ht="12.75" customHeight="1">
      <c r="A36" s="11" t="s">
        <v>90</v>
      </c>
      <c r="B36" s="26">
        <f aca="true" t="shared" si="3" ref="B36:K36">SUM(B14+(B26+B34))</f>
        <v>179256</v>
      </c>
      <c r="C36" s="26">
        <f t="shared" si="3"/>
        <v>585059</v>
      </c>
      <c r="D36" s="26">
        <f>(D14+(D26+D34))</f>
        <v>6392</v>
      </c>
      <c r="E36" s="26">
        <f t="shared" si="3"/>
        <v>-49</v>
      </c>
      <c r="F36" s="26">
        <f t="shared" si="3"/>
        <v>6085</v>
      </c>
      <c r="G36" s="26">
        <f t="shared" si="3"/>
        <v>4087</v>
      </c>
      <c r="H36" s="4">
        <f t="shared" si="3"/>
        <v>21176</v>
      </c>
      <c r="I36" s="26">
        <f t="shared" si="3"/>
        <v>-723</v>
      </c>
      <c r="J36" s="26">
        <f t="shared" si="3"/>
        <v>-1309</v>
      </c>
      <c r="K36" s="30">
        <f t="shared" si="3"/>
        <v>-1573</v>
      </c>
    </row>
    <row r="37" spans="1:11" ht="12.75" customHeight="1">
      <c r="A37" s="11"/>
      <c r="B37" s="3"/>
      <c r="C37" s="3"/>
      <c r="D37" s="3"/>
      <c r="E37" s="3"/>
      <c r="F37" s="37"/>
      <c r="G37" s="3"/>
      <c r="H37" s="3"/>
      <c r="I37" s="3"/>
      <c r="J37" s="3"/>
      <c r="K37" s="14"/>
    </row>
    <row r="38" spans="1:11" ht="12.75" customHeight="1">
      <c r="A38" s="11" t="s">
        <v>91</v>
      </c>
      <c r="B38" s="4">
        <v>10230</v>
      </c>
      <c r="C38" s="4">
        <v>181462</v>
      </c>
      <c r="D38" s="4">
        <v>15493</v>
      </c>
      <c r="E38" s="4">
        <v>1396</v>
      </c>
      <c r="F38" s="4">
        <v>33651</v>
      </c>
      <c r="G38" s="4">
        <v>24416</v>
      </c>
      <c r="H38" s="4">
        <v>7580</v>
      </c>
      <c r="I38" s="4">
        <v>1750</v>
      </c>
      <c r="J38" s="4">
        <v>7928</v>
      </c>
      <c r="K38" s="15">
        <v>15849</v>
      </c>
    </row>
    <row r="39" spans="1:11" ht="12.75" customHeight="1">
      <c r="A39" s="11"/>
      <c r="B39" s="4"/>
      <c r="C39" s="4"/>
      <c r="D39" s="4"/>
      <c r="E39" s="4"/>
      <c r="F39" s="4"/>
      <c r="G39" s="4"/>
      <c r="H39" s="4"/>
      <c r="I39" s="4"/>
      <c r="J39" s="4"/>
      <c r="K39" s="15"/>
    </row>
    <row r="40" spans="1:11" ht="12.75" customHeight="1">
      <c r="A40" s="11" t="s">
        <v>94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15">
        <v>0</v>
      </c>
    </row>
    <row r="41" spans="1:11" ht="12.75" customHeight="1">
      <c r="A41" s="11"/>
      <c r="B41" s="4"/>
      <c r="C41" s="4"/>
      <c r="D41" s="4"/>
      <c r="E41" s="47"/>
      <c r="F41" s="47"/>
      <c r="G41" s="4"/>
      <c r="H41" s="4"/>
      <c r="I41" s="4"/>
      <c r="J41" s="4"/>
      <c r="K41" s="15"/>
    </row>
    <row r="42" spans="1:11" ht="12.75" customHeight="1" thickBot="1">
      <c r="A42" s="20" t="s">
        <v>92</v>
      </c>
      <c r="B42" s="21">
        <f>SUM(B36+B38+B40)</f>
        <v>189486</v>
      </c>
      <c r="C42" s="21">
        <f>SUM(C36+C38+C40)</f>
        <v>766521</v>
      </c>
      <c r="D42" s="21">
        <f aca="true" t="shared" si="4" ref="D42:K42">SUM(D36+D38+D40)</f>
        <v>21885</v>
      </c>
      <c r="E42" s="21">
        <f t="shared" si="4"/>
        <v>1347</v>
      </c>
      <c r="F42" s="21">
        <f t="shared" si="4"/>
        <v>39736</v>
      </c>
      <c r="G42" s="21">
        <f t="shared" si="4"/>
        <v>28503</v>
      </c>
      <c r="H42" s="21">
        <f t="shared" si="4"/>
        <v>28756</v>
      </c>
      <c r="I42" s="21">
        <f t="shared" si="4"/>
        <v>1027</v>
      </c>
      <c r="J42" s="21">
        <f t="shared" si="4"/>
        <v>6619</v>
      </c>
      <c r="K42" s="22">
        <f t="shared" si="4"/>
        <v>14276</v>
      </c>
    </row>
    <row r="43" spans="1:9" ht="16.5" customHeight="1">
      <c r="A43" s="56" t="s">
        <v>104</v>
      </c>
      <c r="B43" s="56"/>
      <c r="C43" s="56"/>
      <c r="D43" s="56"/>
      <c r="E43" s="56"/>
      <c r="F43" s="56"/>
      <c r="G43" s="56"/>
      <c r="H43" s="56"/>
      <c r="I43" s="48"/>
    </row>
    <row r="44" spans="1:4" ht="15.75" thickBot="1">
      <c r="A44" s="1"/>
      <c r="B44" s="1"/>
      <c r="C44" s="40"/>
      <c r="D44" s="38" t="s">
        <v>13</v>
      </c>
    </row>
    <row r="45" spans="1:4" ht="21">
      <c r="A45" s="10"/>
      <c r="B45" s="55" t="s">
        <v>10</v>
      </c>
      <c r="C45" s="53" t="s">
        <v>11</v>
      </c>
      <c r="D45" s="54" t="s">
        <v>12</v>
      </c>
    </row>
    <row r="46" spans="1:4" ht="12.75" customHeight="1">
      <c r="A46" s="11" t="s">
        <v>65</v>
      </c>
      <c r="B46" s="33"/>
      <c r="C46" s="33"/>
      <c r="D46" s="34"/>
    </row>
    <row r="47" spans="1:4" ht="12.75" customHeight="1">
      <c r="A47" s="13" t="s">
        <v>66</v>
      </c>
      <c r="B47" s="24">
        <v>3856376</v>
      </c>
      <c r="C47" s="24">
        <v>999604</v>
      </c>
      <c r="D47" s="35">
        <v>588453</v>
      </c>
    </row>
    <row r="48" spans="1:4" ht="12.75" customHeight="1">
      <c r="A48" s="13" t="s">
        <v>67</v>
      </c>
      <c r="B48" s="24"/>
      <c r="C48" s="24"/>
      <c r="D48" s="35"/>
    </row>
    <row r="49" spans="1:4" ht="12.75" customHeight="1">
      <c r="A49" s="13" t="s">
        <v>68</v>
      </c>
      <c r="B49" s="24">
        <v>2475</v>
      </c>
      <c r="C49" s="24">
        <v>2048</v>
      </c>
      <c r="D49" s="35">
        <v>63</v>
      </c>
    </row>
    <row r="50" spans="1:4" ht="12.75" customHeight="1">
      <c r="A50" s="13" t="s">
        <v>69</v>
      </c>
      <c r="B50" s="24">
        <v>-2875044</v>
      </c>
      <c r="C50" s="24">
        <v>-888717</v>
      </c>
      <c r="D50" s="35">
        <v>-513773</v>
      </c>
    </row>
    <row r="51" spans="1:4" ht="12.75" customHeight="1">
      <c r="A51" s="13" t="s">
        <v>70</v>
      </c>
      <c r="B51" s="24">
        <v>-329228</v>
      </c>
      <c r="C51" s="24">
        <v>-88107</v>
      </c>
      <c r="D51" s="35">
        <v>-50334</v>
      </c>
    </row>
    <row r="52" spans="1:4" ht="12.75" customHeight="1">
      <c r="A52" s="13" t="s">
        <v>71</v>
      </c>
      <c r="B52" s="24"/>
      <c r="C52" s="24"/>
      <c r="D52" s="35">
        <v>-7</v>
      </c>
    </row>
    <row r="53" spans="1:4" ht="12.75" customHeight="1">
      <c r="A53" s="13" t="s">
        <v>72</v>
      </c>
      <c r="B53" s="24">
        <v>-32310</v>
      </c>
      <c r="C53" s="24"/>
      <c r="D53" s="35">
        <v>1599</v>
      </c>
    </row>
    <row r="54" spans="1:4" ht="12.75" customHeight="1">
      <c r="A54" s="13" t="s">
        <v>73</v>
      </c>
      <c r="B54" s="24">
        <v>-528650</v>
      </c>
      <c r="C54" s="24">
        <v>-21971</v>
      </c>
      <c r="D54" s="35">
        <v>-11147</v>
      </c>
    </row>
    <row r="55" spans="1:4" ht="12.75" customHeight="1">
      <c r="A55" s="17"/>
      <c r="B55" s="24"/>
      <c r="C55" s="24"/>
      <c r="D55" s="35"/>
    </row>
    <row r="56" spans="1:4" ht="12.75" customHeight="1">
      <c r="A56" s="11" t="s">
        <v>74</v>
      </c>
      <c r="B56" s="26">
        <f>SUM(B47:B54)</f>
        <v>93619</v>
      </c>
      <c r="C56" s="26">
        <f>SUM(C46:C55)</f>
        <v>2857</v>
      </c>
      <c r="D56" s="30">
        <f>SUM(D46:D55)</f>
        <v>14854</v>
      </c>
    </row>
    <row r="57" spans="1:4" ht="12.75" customHeight="1">
      <c r="A57" s="17"/>
      <c r="B57" s="24"/>
      <c r="C57" s="24"/>
      <c r="D57" s="35"/>
    </row>
    <row r="58" spans="1:4" ht="12.75" customHeight="1">
      <c r="A58" s="11" t="s">
        <v>75</v>
      </c>
      <c r="B58" s="24"/>
      <c r="C58" s="24"/>
      <c r="D58" s="35"/>
    </row>
    <row r="59" spans="1:4" ht="12.75" customHeight="1">
      <c r="A59" s="13" t="s">
        <v>76</v>
      </c>
      <c r="B59" s="24"/>
      <c r="C59" s="24"/>
      <c r="D59" s="35"/>
    </row>
    <row r="60" spans="1:4" ht="12.75" customHeight="1">
      <c r="A60" s="13" t="s">
        <v>77</v>
      </c>
      <c r="B60" s="24"/>
      <c r="C60" s="24"/>
      <c r="D60" s="35"/>
    </row>
    <row r="61" spans="1:4" ht="12.75" customHeight="1">
      <c r="A61" s="13" t="s">
        <v>78</v>
      </c>
      <c r="B61" s="24"/>
      <c r="C61" s="24"/>
      <c r="D61" s="35"/>
    </row>
    <row r="62" spans="1:4" ht="12.75" customHeight="1">
      <c r="A62" s="13" t="s">
        <v>79</v>
      </c>
      <c r="B62" s="24"/>
      <c r="C62" s="24"/>
      <c r="D62" s="35">
        <v>78</v>
      </c>
    </row>
    <row r="63" spans="1:4" ht="12.75" customHeight="1">
      <c r="A63" s="13" t="s">
        <v>80</v>
      </c>
      <c r="B63" s="24"/>
      <c r="C63" s="24"/>
      <c r="D63" s="35"/>
    </row>
    <row r="64" spans="1:4" ht="12.75" customHeight="1">
      <c r="A64" s="13" t="s">
        <v>81</v>
      </c>
      <c r="B64" s="24"/>
      <c r="C64" s="24"/>
      <c r="D64" s="35"/>
    </row>
    <row r="65" spans="1:4" ht="12.75" customHeight="1">
      <c r="A65" s="13" t="s">
        <v>82</v>
      </c>
      <c r="B65" s="24">
        <v>-136146</v>
      </c>
      <c r="C65" s="24">
        <v>-3606</v>
      </c>
      <c r="D65" s="35"/>
    </row>
    <row r="66" spans="1:4" ht="12.75" customHeight="1">
      <c r="A66" s="13" t="s">
        <v>83</v>
      </c>
      <c r="B66" s="24"/>
      <c r="C66" s="24"/>
      <c r="D66" s="35"/>
    </row>
    <row r="67" spans="1:4" ht="12.75" customHeight="1">
      <c r="A67" s="17"/>
      <c r="B67" s="24"/>
      <c r="C67" s="24"/>
      <c r="D67" s="35"/>
    </row>
    <row r="68" spans="1:4" ht="12.75" customHeight="1">
      <c r="A68" s="11" t="s">
        <v>84</v>
      </c>
      <c r="B68" s="26">
        <f>SUM(B59:B66)</f>
        <v>-136146</v>
      </c>
      <c r="C68" s="26">
        <f>SUM(C59:C66)</f>
        <v>-3606</v>
      </c>
      <c r="D68" s="30">
        <f>SUM(D59:D66)</f>
        <v>78</v>
      </c>
    </row>
    <row r="69" spans="1:4" ht="12.75" customHeight="1">
      <c r="A69" s="17"/>
      <c r="B69" s="24"/>
      <c r="C69" s="24"/>
      <c r="D69" s="35"/>
    </row>
    <row r="70" spans="1:4" ht="12.75" customHeight="1">
      <c r="A70" s="11" t="s">
        <v>85</v>
      </c>
      <c r="B70" s="24"/>
      <c r="C70" s="24"/>
      <c r="D70" s="35"/>
    </row>
    <row r="71" spans="1:4" ht="12.75" customHeight="1">
      <c r="A71" s="13" t="s">
        <v>97</v>
      </c>
      <c r="B71" s="24"/>
      <c r="C71" s="24"/>
      <c r="D71" s="35"/>
    </row>
    <row r="72" spans="1:7" ht="12.75" customHeight="1">
      <c r="A72" s="13" t="s">
        <v>86</v>
      </c>
      <c r="B72" s="24"/>
      <c r="C72" s="24"/>
      <c r="D72" s="35"/>
      <c r="G72" s="43"/>
    </row>
    <row r="73" spans="1:4" ht="12.75" customHeight="1">
      <c r="A73" s="13" t="s">
        <v>87</v>
      </c>
      <c r="B73" s="24"/>
      <c r="C73" s="24"/>
      <c r="D73" s="35"/>
    </row>
    <row r="74" spans="1:4" ht="12.75" customHeight="1">
      <c r="A74" s="13" t="s">
        <v>88</v>
      </c>
      <c r="B74" s="24"/>
      <c r="C74" s="24"/>
      <c r="D74" s="35"/>
    </row>
    <row r="75" spans="1:8" ht="12.75" customHeight="1">
      <c r="A75" s="17"/>
      <c r="B75" s="24"/>
      <c r="C75" s="24"/>
      <c r="D75" s="35"/>
      <c r="H75" s="39" t="s">
        <v>105</v>
      </c>
    </row>
    <row r="76" spans="1:4" ht="12.75" customHeight="1">
      <c r="A76" s="11" t="s">
        <v>89</v>
      </c>
      <c r="B76" s="36">
        <f>SUM(B71:B74)</f>
        <v>0</v>
      </c>
      <c r="C76" s="26">
        <f>SUM(C71:C74)</f>
        <v>0</v>
      </c>
      <c r="D76" s="51">
        <f>SUM(D71:D74)</f>
        <v>0</v>
      </c>
    </row>
    <row r="77" spans="1:8" ht="12.75" customHeight="1">
      <c r="A77" s="17"/>
      <c r="B77" s="24"/>
      <c r="C77" s="24"/>
      <c r="D77" s="35"/>
      <c r="H77" s="39" t="s">
        <v>106</v>
      </c>
    </row>
    <row r="78" spans="1:4" ht="12.75" customHeight="1">
      <c r="A78" s="11" t="s">
        <v>90</v>
      </c>
      <c r="B78" s="26">
        <f>SUM(B56+(B68+B76))</f>
        <v>-42527</v>
      </c>
      <c r="C78" s="26">
        <f>SUM(C56+(C68+C76))</f>
        <v>-749</v>
      </c>
      <c r="D78" s="30">
        <f>SUM(D56+(D68+D76))</f>
        <v>14932</v>
      </c>
    </row>
    <row r="79" spans="1:4" ht="12.75" customHeight="1">
      <c r="A79" s="11"/>
      <c r="B79" s="24"/>
      <c r="C79" s="24"/>
      <c r="D79" s="35"/>
    </row>
    <row r="80" spans="1:4" ht="12.75" customHeight="1">
      <c r="A80" s="11" t="s">
        <v>91</v>
      </c>
      <c r="B80" s="26">
        <v>254442</v>
      </c>
      <c r="C80" s="26">
        <v>3747</v>
      </c>
      <c r="D80" s="30">
        <v>41852</v>
      </c>
    </row>
    <row r="81" spans="1:4" ht="12.75" customHeight="1">
      <c r="A81" s="11"/>
      <c r="B81" s="26"/>
      <c r="C81" s="26"/>
      <c r="D81" s="30"/>
    </row>
    <row r="82" spans="1:4" ht="12.75" customHeight="1">
      <c r="A82" s="11" t="s">
        <v>96</v>
      </c>
      <c r="B82" s="26">
        <v>-12856</v>
      </c>
      <c r="C82" s="26"/>
      <c r="D82" s="30">
        <v>-384</v>
      </c>
    </row>
    <row r="83" spans="1:4" ht="12.75" customHeight="1">
      <c r="A83" s="17"/>
      <c r="B83" s="26"/>
      <c r="C83" s="26"/>
      <c r="D83" s="30"/>
    </row>
    <row r="84" spans="1:4" ht="12.75" customHeight="1" thickBot="1">
      <c r="A84" s="20" t="s">
        <v>92</v>
      </c>
      <c r="B84" s="27">
        <f>SUM(B78+B80+B82)</f>
        <v>199059</v>
      </c>
      <c r="C84" s="27">
        <f>SUM(C78+C80+C82)</f>
        <v>2998</v>
      </c>
      <c r="D84" s="31">
        <f>SUM(D78,D80,D82)</f>
        <v>56400</v>
      </c>
    </row>
  </sheetData>
  <sheetProtection/>
  <mergeCells count="2">
    <mergeCell ref="A1:K1"/>
    <mergeCell ref="A43:H43"/>
  </mergeCells>
  <printOptions/>
  <pageMargins left="0.66" right="0.4" top="0.32" bottom="0.42" header="0.1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Metalac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Biljana Stojanovic</cp:lastModifiedBy>
  <cp:lastPrinted>2011-08-24T12:13:38Z</cp:lastPrinted>
  <dcterms:created xsi:type="dcterms:W3CDTF">2009-02-24T07:04:59Z</dcterms:created>
  <dcterms:modified xsi:type="dcterms:W3CDTF">2011-08-31T09:05:49Z</dcterms:modified>
  <cp:category/>
  <cp:version/>
  <cp:contentType/>
  <cp:contentStatus/>
</cp:coreProperties>
</file>